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User\Desktop\"/>
    </mc:Choice>
  </mc:AlternateContent>
  <xr:revisionPtr revIDLastSave="0" documentId="8_{E94EBAA4-0A86-4A2B-A5F1-D681699D3434}" xr6:coauthVersionLast="46" xr6:coauthVersionMax="46" xr10:uidLastSave="{00000000-0000-0000-0000-000000000000}"/>
  <bookViews>
    <workbookView xWindow="-120" yWindow="-120" windowWidth="25440" windowHeight="15390" xr2:uid="{00000000-000D-0000-FFFF-FFFF00000000}"/>
  </bookViews>
  <sheets>
    <sheet name="Outfitter" sheetId="1" r:id="rId1"/>
  </sheets>
  <definedNames>
    <definedName name="_xlnm._FilterDatabase" localSheetId="0" hidden="1">Outfitter!$BV$85:$CA$1124</definedName>
    <definedName name="AnyBrkt.Classic">Outfitter!$DH$91:$DH$96</definedName>
    <definedName name="AnyBrkt.Long">Outfitter!$DH$81:$DH$85</definedName>
    <definedName name="Badge">Outfitter!$AB$77</definedName>
    <definedName name="Bass_DblSngl">Outfitter!$FP$8:$FP$20</definedName>
    <definedName name="Bass_Mounts">Outfitter!$DH$3:$DH$9</definedName>
    <definedName name="BD_Front_Head">Outfitter!$AE$24:$AE$25</definedName>
    <definedName name="bd_screws">Outfitter!$EH$23</definedName>
    <definedName name="Classic_Maple_Badge">Outfitter!$AB$80:$AB$82</definedName>
    <definedName name="Classic_Maple_Bass_Size">Outfitter!$BD$3:$BD$22</definedName>
    <definedName name="Classic_Maple_Finish">Outfitter!$AT$3:$AT$58</definedName>
    <definedName name="Classic_Maple_Floor_Size">Outfitter!$BD$26:$BD$35</definedName>
    <definedName name="Classic_Maple_Snare_Size">Outfitter!$BD$70:$BD$80</definedName>
    <definedName name="Classic_Maple_Tom_Size">Outfitter!$BD$39:$BD$65</definedName>
    <definedName name="Classic_Oak_Badge">Outfitter!$AB$96:$AB$97</definedName>
    <definedName name="Classic_Oak_Bass_Size">Outfitter!$BS$3:$BS$22</definedName>
    <definedName name="Classic_Oak_Finish">Outfitter!$AX$3:$AX$28</definedName>
    <definedName name="Classic_Oak_Floor_Size">Outfitter!$BS$26:$BS$35</definedName>
    <definedName name="Classic_Oak_Snare_Size">Outfitter!$BS$70:$BS$80</definedName>
    <definedName name="Classic_Oak_Tom_Size">Outfitter!$BS$41:$BS$65</definedName>
    <definedName name="Clear_All">Outfitter!$C$2:$C$5,Outfitter!$G$2:$G$3,Outfitter!$B$8:$C$20,Outfitter!$E$8:$E$20,Outfitter!$G$8:$G$20,Outfitter!$G$22:$G$25,Outfitter!$G$27:$G$30,Outfitter!$G$32:$G$33,Outfitter!$G$35:$G$36,Outfitter!$G$41:$G$42,Outfitter!$G$44:$G$47,Outfitter!$G$49:$G$50,Outfitter!$G$38:$G$39</definedName>
    <definedName name="Cortex">Outfitter!$DV$8:$DV$12</definedName>
    <definedName name="DblSngl">Outfitter!$FO$31</definedName>
    <definedName name="Diagonal">Outfitter!$I$24:$I$26,Outfitter!$L$27:$L$29</definedName>
    <definedName name="Discount">Outfitter!$CH$107:$CM$107</definedName>
    <definedName name="Double">Outfitter!$FN$31</definedName>
    <definedName name="Edges_Classic_Maple">Outfitter!$EF$5:$EG$5</definedName>
    <definedName name="Edges_Classic_Oak">Outfitter!$EE$9</definedName>
    <definedName name="Edges_Legacy_Exotic">Outfitter!$EE$8</definedName>
    <definedName name="Edges_Legacy_Mahogany">Outfitter!$EE$7</definedName>
    <definedName name="Edges_Legacy_Maple">Outfitter!$EE$6</definedName>
    <definedName name="Floor_DblSngl">Outfitter!$FO$8:$FO$20</definedName>
    <definedName name="Floor_Mounts">Outfitter!$DH$26:$DH$29</definedName>
    <definedName name="IntFin_Choice">Outfitter!$AN$23:$AO$23</definedName>
    <definedName name="IntFin_Clear">Outfitter!$AN$22</definedName>
    <definedName name="Legacy_Exotic_Badge">Outfitter!$AB$92:$AB$94</definedName>
    <definedName name="Legacy_Exotic_Bass_Size">Outfitter!$BP$3:$BP$23</definedName>
    <definedName name="Legacy_Exotic_Finish">Outfitter!$AW$3:$AW$27</definedName>
    <definedName name="Legacy_Exotic_Floor_Size">Outfitter!$BP$26:$BP$35</definedName>
    <definedName name="Legacy_Exotic_Snare_Size">Outfitter!$BP$70:$BP$79</definedName>
    <definedName name="Legacy_Exotic_Tom_Size">Outfitter!$BP$44:$BP$67</definedName>
    <definedName name="Legacy_Exotic_Type">Outfitter!$AF$119:$AF$122</definedName>
    <definedName name="Legacy_Mahogany_Badge">Outfitter!$AB$88:$AB$90</definedName>
    <definedName name="Legacy_Mahogany_Bass_Size">Outfitter!$BL$3:$BL$23</definedName>
    <definedName name="Legacy_Mahogany_Finish">Outfitter!$AV$3:$AV$31</definedName>
    <definedName name="Legacy_Mahogany_Floor_Size">Outfitter!$BL$26:$BL$35</definedName>
    <definedName name="Legacy_Mahogany_Snare_Size">Outfitter!$BL$70:$BL$79</definedName>
    <definedName name="Legacy_Mahogany_Tom_Size">Outfitter!$BL$44:$BL$67</definedName>
    <definedName name="Legacy_Maple_Badge">Outfitter!$AB$84:$AB$86</definedName>
    <definedName name="Legacy_Maple_Bass_Size">Outfitter!$BH$3:$BH$23</definedName>
    <definedName name="Legacy_Maple_Finish">Outfitter!$AU$3:$AU$30</definedName>
    <definedName name="Legacy_Maple_Floor_Size">Outfitter!$BH$26:$BH$35</definedName>
    <definedName name="Legacy_Maple_Snare_size">Outfitter!$BH$70:$BH$79</definedName>
    <definedName name="Legacy_Maple_Tom_Size">Outfitter!$BH$44:$BH$67</definedName>
    <definedName name="LL_Bass_Mounts">Outfitter!$DH$3:$DH$8</definedName>
    <definedName name="LL_Floor_Mounts">Outfitter!$DH$26:$DH$28</definedName>
    <definedName name="MH">Outfitter!$DW$8</definedName>
    <definedName name="ML">Outfitter!$CQ$77</definedName>
    <definedName name="MLLC">Outfitter!$CQ$78:$CR$78</definedName>
    <definedName name="MLLCLL">Outfitter!$CQ$79:$CS$79</definedName>
    <definedName name="MLLCLLLILT">Outfitter!$CQ$80:$CU$80</definedName>
    <definedName name="MLLCLLSIST">Outfitter!$CQ$81:$CU$81</definedName>
    <definedName name="MLLTSI">Outfitter!$CQ$88:$CS$88</definedName>
    <definedName name="MLLTSISTTB">Outfitter!$CQ$85:$CU$85</definedName>
    <definedName name="MLSI">Outfitter!$CQ$87:$CR$87</definedName>
    <definedName name="MLSIST">Outfitter!$CQ$82:$CS$82</definedName>
    <definedName name="MLSISTTB">Outfitter!$CQ$86:$CT$86</definedName>
    <definedName name="Mounts">Outfitter!$G$8:$G$20</definedName>
    <definedName name="Naturals">Outfitter!$E$23</definedName>
    <definedName name="No_Shell_Mount">Outfitter!$DN$11</definedName>
    <definedName name="PDC">Outfitter!$BD$104</definedName>
    <definedName name="_xlnm.Print_Area" localSheetId="0">Print_Area_Formula</definedName>
    <definedName name="Print_Area_Formula">OFFSET(Outfitter!$GE$4,0,0,29,Outfitter!$GC$5)</definedName>
    <definedName name="_xlnm.Print_Titles" localSheetId="0">Outfitter!$GD:$GD,Outfitter!$1:$3</definedName>
    <definedName name="PTTB">Outfitter!$CQ$83:$CR$83</definedName>
    <definedName name="Sable">Outfitter!$DY$8:$DY$8</definedName>
    <definedName name="Satins">Outfitter!$DZ$8:$DZ$9</definedName>
    <definedName name="sdBedChoice">Outfitter!$FS$31</definedName>
    <definedName name="sdBedNoChoice">Outfitter!$FS$32</definedName>
    <definedName name="Shell">Outfitter!$AE$3:$AE$7</definedName>
    <definedName name="Shell_Mount">Outfitter!$DN$3:$DN$5</definedName>
    <definedName name="ShellOnly.Classic">Outfitter!$DH$73:$DH$76</definedName>
    <definedName name="ShellOnly.Long">Outfitter!$DH$66:$DH$68</definedName>
    <definedName name="SISTTB">Outfitter!$CQ$84:$CS$84</definedName>
    <definedName name="SN0N">Outfitter!$EA$8</definedName>
    <definedName name="Snare_Mounts">Outfitter!$DH$33:$DH$36</definedName>
    <definedName name="Sprays">Outfitter!$DX$8:$DX$9</definedName>
    <definedName name="Spurs_AECFN">Outfitter!$EN$62:$EQ$62</definedName>
    <definedName name="Spurs_AEFN">Outfitter!$EN$65:$EP$65</definedName>
    <definedName name="Spurs_ECFN">Outfitter!$EN$63:$EP$63</definedName>
    <definedName name="Spurs_EFN">Outfitter!$EN$66:$EO$66</definedName>
    <definedName name="Spurs_FN">Outfitter!$EN$64</definedName>
    <definedName name="Throw_P80">Outfitter!$DG$52</definedName>
    <definedName name="Throws_85_86_88">Outfitter!$DG$43:$DH$43</definedName>
    <definedName name="Tom_DblSngl">Outfitter!$FN$8:$FN$20</definedName>
    <definedName name="Tom_Mounts">Outfitter!$DH$16:$DH$21</definedName>
    <definedName name="Triple_Flange">Outfitter!$BD$103</definedName>
    <definedName name="Type">Outfitter!$AE$10:$AE$13</definedName>
    <definedName name="Wraps">Outfitter!$AU$3:$AU$30</definedName>
    <definedName name="WrapsSN">Outfitter!$DU$8:$DU$15</definedName>
    <definedName name="WrapsST">Outfitter!$DT$8:$DT$15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0" i="1" l="1"/>
  <c r="O49" i="1"/>
  <c r="O48" i="1"/>
  <c r="O47" i="1"/>
  <c r="O46" i="1"/>
  <c r="O45" i="1"/>
  <c r="O44" i="1"/>
  <c r="O42" i="1"/>
  <c r="O41" i="1"/>
  <c r="O40" i="1"/>
  <c r="O39" i="1"/>
  <c r="O38" i="1"/>
  <c r="O36" i="1"/>
  <c r="O35" i="1"/>
  <c r="O34" i="1"/>
  <c r="O33" i="1"/>
  <c r="O32" i="1"/>
  <c r="O30" i="1"/>
  <c r="O29" i="1"/>
  <c r="O28" i="1"/>
  <c r="O27" i="1"/>
  <c r="O26" i="1"/>
  <c r="O25" i="1"/>
  <c r="O24" i="1"/>
  <c r="O23" i="1"/>
  <c r="O22" i="1"/>
  <c r="CM167" i="1"/>
  <c r="CL167" i="1"/>
  <c r="CK167" i="1"/>
  <c r="CJ167" i="1"/>
  <c r="CI167" i="1"/>
  <c r="CH167" i="1"/>
  <c r="CM166" i="1"/>
  <c r="CL166" i="1"/>
  <c r="CK166" i="1"/>
  <c r="CJ166" i="1"/>
  <c r="CI166" i="1"/>
  <c r="CH166" i="1"/>
  <c r="CM165" i="1"/>
  <c r="CL165" i="1"/>
  <c r="CK165" i="1"/>
  <c r="CJ165" i="1"/>
  <c r="CI165" i="1"/>
  <c r="CH165" i="1"/>
  <c r="CM164" i="1"/>
  <c r="CL164" i="1"/>
  <c r="CK164" i="1"/>
  <c r="CJ164" i="1"/>
  <c r="CI164" i="1"/>
  <c r="CH164" i="1"/>
  <c r="CM163" i="1"/>
  <c r="CL163" i="1"/>
  <c r="CK163" i="1"/>
  <c r="CJ163" i="1"/>
  <c r="CI163" i="1"/>
  <c r="CH163" i="1"/>
  <c r="CM162" i="1"/>
  <c r="CL162" i="1"/>
  <c r="CK162" i="1"/>
  <c r="CJ162" i="1"/>
  <c r="CI162" i="1"/>
  <c r="CH162" i="1"/>
  <c r="CM161" i="1"/>
  <c r="CL161" i="1"/>
  <c r="CK161" i="1"/>
  <c r="CJ161" i="1"/>
  <c r="CI161" i="1"/>
  <c r="CH161" i="1"/>
  <c r="CM160" i="1"/>
  <c r="CL160" i="1"/>
  <c r="CK160" i="1"/>
  <c r="CJ160" i="1"/>
  <c r="CI160" i="1"/>
  <c r="CH160" i="1"/>
  <c r="CM159" i="1"/>
  <c r="CL159" i="1"/>
  <c r="CK159" i="1"/>
  <c r="CJ159" i="1"/>
  <c r="CI159" i="1"/>
  <c r="CH159" i="1"/>
  <c r="CM158" i="1"/>
  <c r="CL158" i="1"/>
  <c r="CK158" i="1"/>
  <c r="CJ158" i="1"/>
  <c r="CI158" i="1"/>
  <c r="CH158" i="1"/>
  <c r="CM157" i="1"/>
  <c r="CL157" i="1"/>
  <c r="CK157" i="1"/>
  <c r="CJ157" i="1"/>
  <c r="CI157" i="1"/>
  <c r="CH157" i="1"/>
  <c r="CM156" i="1"/>
  <c r="CL156" i="1"/>
  <c r="CK156" i="1"/>
  <c r="CJ156" i="1"/>
  <c r="CI156" i="1"/>
  <c r="CH156" i="1"/>
  <c r="CM155" i="1"/>
  <c r="CL155" i="1"/>
  <c r="CK155" i="1"/>
  <c r="CJ155" i="1"/>
  <c r="CI155" i="1"/>
  <c r="CH155" i="1"/>
  <c r="CM154" i="1"/>
  <c r="CL154" i="1"/>
  <c r="CK154" i="1"/>
  <c r="CJ154" i="1"/>
  <c r="CI154" i="1"/>
  <c r="CH154" i="1"/>
  <c r="CM153" i="1"/>
  <c r="CL153" i="1"/>
  <c r="CK153" i="1"/>
  <c r="CJ153" i="1"/>
  <c r="CI153" i="1"/>
  <c r="CH153" i="1"/>
  <c r="CM152" i="1"/>
  <c r="CL152" i="1"/>
  <c r="CK152" i="1"/>
  <c r="CJ152" i="1"/>
  <c r="CI152" i="1"/>
  <c r="CH152" i="1"/>
  <c r="CM151" i="1"/>
  <c r="CL151" i="1"/>
  <c r="CK151" i="1"/>
  <c r="CJ151" i="1"/>
  <c r="CI151" i="1"/>
  <c r="CH151" i="1"/>
  <c r="CM150" i="1"/>
  <c r="CL150" i="1"/>
  <c r="CK150" i="1"/>
  <c r="CJ150" i="1"/>
  <c r="CI150" i="1"/>
  <c r="CH150" i="1"/>
  <c r="CM149" i="1"/>
  <c r="CL149" i="1"/>
  <c r="CK149" i="1"/>
  <c r="CJ149" i="1"/>
  <c r="CI149" i="1"/>
  <c r="CH149" i="1"/>
  <c r="CM148" i="1"/>
  <c r="CL148" i="1"/>
  <c r="CK148" i="1"/>
  <c r="CJ148" i="1"/>
  <c r="CI148" i="1"/>
  <c r="CH148" i="1"/>
  <c r="CF147" i="1"/>
  <c r="CF146" i="1"/>
  <c r="CF145" i="1"/>
  <c r="CF144" i="1"/>
  <c r="CF143" i="1"/>
  <c r="CF142" i="1"/>
  <c r="CF141" i="1"/>
  <c r="CF140" i="1"/>
  <c r="CF139" i="1"/>
  <c r="CF138" i="1"/>
  <c r="CF137" i="1"/>
  <c r="CF136" i="1"/>
  <c r="CF135" i="1"/>
  <c r="CF134" i="1"/>
  <c r="CF133" i="1"/>
  <c r="CF132" i="1"/>
  <c r="CF131" i="1"/>
  <c r="CF130" i="1"/>
  <c r="CF129" i="1"/>
  <c r="CF128" i="1"/>
  <c r="CF127" i="1" l="1"/>
  <c r="CF126" i="1"/>
  <c r="CF125" i="1"/>
  <c r="CF124" i="1"/>
  <c r="CF123" i="1"/>
  <c r="CF122" i="1"/>
  <c r="CF121" i="1"/>
  <c r="CF120" i="1"/>
  <c r="CF119" i="1"/>
  <c r="CF118" i="1"/>
  <c r="CF117" i="1"/>
  <c r="CF116" i="1"/>
  <c r="CF115" i="1"/>
  <c r="CF114" i="1"/>
  <c r="CF113" i="1"/>
  <c r="CF112" i="1"/>
  <c r="CF111" i="1"/>
  <c r="CF110" i="1"/>
  <c r="CF109" i="1"/>
  <c r="CF108" i="1"/>
  <c r="AA20" i="1"/>
  <c r="AA19" i="1"/>
  <c r="AA18" i="1"/>
  <c r="AA17" i="1"/>
  <c r="AA16" i="1"/>
  <c r="AA15" i="1"/>
  <c r="AA14" i="1"/>
  <c r="AA13" i="1"/>
  <c r="AA12" i="1"/>
  <c r="AA11" i="1"/>
  <c r="AA10" i="1"/>
  <c r="AA9" i="1"/>
  <c r="AA8" i="1"/>
  <c r="BV1118" i="1"/>
  <c r="BV1117" i="1"/>
  <c r="BV1116" i="1"/>
  <c r="BV1115" i="1"/>
  <c r="BV1114" i="1"/>
  <c r="BV1113" i="1"/>
  <c r="BV1112" i="1"/>
  <c r="BV1111" i="1"/>
  <c r="BV1110" i="1"/>
  <c r="BV1109" i="1"/>
  <c r="BV1108" i="1"/>
  <c r="BV1107" i="1"/>
  <c r="BV1106" i="1"/>
  <c r="BV1105" i="1"/>
  <c r="BV1104" i="1"/>
  <c r="BV1103" i="1"/>
  <c r="BV1102" i="1"/>
  <c r="BV1101" i="1"/>
  <c r="BV1100" i="1"/>
  <c r="BV1099" i="1"/>
  <c r="BV1098" i="1"/>
  <c r="BV1097" i="1"/>
  <c r="BV1096" i="1"/>
  <c r="BV1095" i="1"/>
  <c r="BV1094" i="1"/>
  <c r="BV1093" i="1"/>
  <c r="BV1092" i="1"/>
  <c r="BV1091" i="1"/>
  <c r="BV1090" i="1"/>
  <c r="BV1089" i="1"/>
  <c r="BV1088" i="1"/>
  <c r="BV1087" i="1"/>
  <c r="BV1086" i="1"/>
  <c r="BV1085" i="1"/>
  <c r="BV1084" i="1"/>
  <c r="BV1083" i="1"/>
  <c r="BV1082" i="1"/>
  <c r="BV1081" i="1"/>
  <c r="BV1080" i="1"/>
  <c r="BV1079" i="1"/>
  <c r="BV1078" i="1"/>
  <c r="BV1077" i="1"/>
  <c r="BV1076" i="1"/>
  <c r="BV1075" i="1"/>
  <c r="BV1074" i="1"/>
  <c r="BV1073" i="1"/>
  <c r="BV1072" i="1"/>
  <c r="BV1071" i="1"/>
  <c r="BV1070" i="1"/>
  <c r="BV1069" i="1"/>
  <c r="BV1068" i="1"/>
  <c r="BV1067" i="1"/>
  <c r="BV1066" i="1"/>
  <c r="BV1065" i="1"/>
  <c r="BV1064" i="1"/>
  <c r="BV1063" i="1"/>
  <c r="BV1062" i="1"/>
  <c r="BV1061" i="1"/>
  <c r="BV1060" i="1"/>
  <c r="BV1059" i="1"/>
  <c r="BV1058" i="1"/>
  <c r="BV1057" i="1"/>
  <c r="BV1056" i="1"/>
  <c r="BV1055" i="1"/>
  <c r="BV1054" i="1"/>
  <c r="BV1053" i="1"/>
  <c r="BV1052" i="1"/>
  <c r="BV1051" i="1"/>
  <c r="BV1050" i="1"/>
  <c r="BV1049" i="1"/>
  <c r="BV1048" i="1"/>
  <c r="BV1047" i="1"/>
  <c r="BV1046" i="1"/>
  <c r="BV1045" i="1"/>
  <c r="BV1044" i="1"/>
  <c r="BV1043" i="1"/>
  <c r="BV1042" i="1"/>
  <c r="BV1041" i="1"/>
  <c r="BV1040" i="1"/>
  <c r="BV1039" i="1"/>
  <c r="BV1038" i="1"/>
  <c r="BV1037" i="1"/>
  <c r="BV1036" i="1"/>
  <c r="BV1035" i="1"/>
  <c r="BV1034" i="1"/>
  <c r="BV1033" i="1"/>
  <c r="BV1032" i="1"/>
  <c r="BV1031" i="1"/>
  <c r="BV1030" i="1"/>
  <c r="BV1029" i="1"/>
  <c r="BV1028" i="1"/>
  <c r="BV1027" i="1"/>
  <c r="BV1026" i="1"/>
  <c r="BV1025" i="1"/>
  <c r="BV1024" i="1"/>
  <c r="BV1023" i="1"/>
  <c r="BV1022" i="1"/>
  <c r="BV1021" i="1"/>
  <c r="BV1020" i="1"/>
  <c r="BV1019" i="1"/>
  <c r="BV1018" i="1"/>
  <c r="BV1017" i="1"/>
  <c r="BV1016" i="1"/>
  <c r="BV1015" i="1"/>
  <c r="BV1014" i="1"/>
  <c r="BV1013" i="1"/>
  <c r="BV1012" i="1"/>
  <c r="BV1011" i="1"/>
  <c r="BV1010" i="1"/>
  <c r="BV1009" i="1"/>
  <c r="BV1008" i="1"/>
  <c r="BV1007" i="1"/>
  <c r="BV1006" i="1"/>
  <c r="BV1005" i="1"/>
  <c r="BV1004" i="1"/>
  <c r="BV1003" i="1"/>
  <c r="BV1002" i="1"/>
  <c r="BV1001" i="1"/>
  <c r="BV1000" i="1"/>
  <c r="BV999" i="1"/>
  <c r="BV998" i="1"/>
  <c r="BV997" i="1"/>
  <c r="BV996" i="1"/>
  <c r="BV995" i="1"/>
  <c r="BV994" i="1"/>
  <c r="BV993" i="1"/>
  <c r="BV992" i="1"/>
  <c r="BV991" i="1"/>
  <c r="BV990" i="1"/>
  <c r="BV989" i="1"/>
  <c r="BV988" i="1"/>
  <c r="BV987" i="1"/>
  <c r="BV986" i="1"/>
  <c r="BV985" i="1"/>
  <c r="BV984" i="1"/>
  <c r="BV983" i="1"/>
  <c r="BV982" i="1"/>
  <c r="BV981" i="1"/>
  <c r="BV980" i="1"/>
  <c r="BV979" i="1"/>
  <c r="BV978" i="1"/>
  <c r="BV977" i="1"/>
  <c r="BV976" i="1"/>
  <c r="BV975" i="1"/>
  <c r="BV974" i="1"/>
  <c r="BV973" i="1"/>
  <c r="BV972" i="1"/>
  <c r="BV971" i="1"/>
  <c r="BV970" i="1"/>
  <c r="BV969" i="1"/>
  <c r="BV968" i="1"/>
  <c r="BV967" i="1"/>
  <c r="BV966" i="1"/>
  <c r="BV965" i="1"/>
  <c r="BV964" i="1"/>
  <c r="BV963" i="1"/>
  <c r="BV962" i="1"/>
  <c r="BV961" i="1"/>
  <c r="BV960" i="1"/>
  <c r="BV959" i="1"/>
  <c r="BV958" i="1"/>
  <c r="BV957" i="1"/>
  <c r="BV956" i="1"/>
  <c r="BV955" i="1"/>
  <c r="BV954" i="1"/>
  <c r="BV953" i="1"/>
  <c r="BV952" i="1"/>
  <c r="BV951" i="1"/>
  <c r="BV950" i="1"/>
  <c r="BV949" i="1"/>
  <c r="BV948" i="1"/>
  <c r="BV947" i="1"/>
  <c r="BV946" i="1"/>
  <c r="BV945" i="1"/>
  <c r="BV944" i="1"/>
  <c r="BV943" i="1"/>
  <c r="BV942" i="1"/>
  <c r="BV941" i="1"/>
  <c r="BV940" i="1"/>
  <c r="BV939" i="1"/>
  <c r="BV938" i="1"/>
  <c r="BV937" i="1"/>
  <c r="BV936" i="1"/>
  <c r="BV935" i="1"/>
  <c r="BV934" i="1"/>
  <c r="BV933" i="1"/>
  <c r="BV932" i="1"/>
  <c r="BV931" i="1"/>
  <c r="BV930" i="1"/>
  <c r="BV929" i="1"/>
  <c r="BV928" i="1"/>
  <c r="BV927" i="1"/>
  <c r="BV926" i="1"/>
  <c r="BV925" i="1"/>
  <c r="BV924" i="1"/>
  <c r="BV923" i="1"/>
  <c r="BV922" i="1"/>
  <c r="BV921" i="1"/>
  <c r="BV920" i="1"/>
  <c r="BV919" i="1"/>
  <c r="BV918" i="1"/>
  <c r="BV917" i="1"/>
  <c r="BV916" i="1"/>
  <c r="BV915" i="1"/>
  <c r="BV914" i="1"/>
  <c r="BV913" i="1"/>
  <c r="BV912" i="1"/>
  <c r="BV911" i="1"/>
  <c r="BV910" i="1"/>
  <c r="BV909" i="1"/>
  <c r="BV908" i="1"/>
  <c r="BV907" i="1"/>
  <c r="BV906" i="1"/>
  <c r="BV905" i="1"/>
  <c r="BV904" i="1"/>
  <c r="BV903" i="1"/>
  <c r="BV902" i="1"/>
  <c r="BV901" i="1"/>
  <c r="BV900" i="1"/>
  <c r="BV899" i="1"/>
  <c r="BV898" i="1"/>
  <c r="BV897" i="1"/>
  <c r="BV896" i="1"/>
  <c r="BV895" i="1"/>
  <c r="BV894" i="1"/>
  <c r="BV893" i="1"/>
  <c r="BV892" i="1"/>
  <c r="BV891" i="1"/>
  <c r="BV890" i="1"/>
  <c r="BV889" i="1"/>
  <c r="BV888" i="1"/>
  <c r="BV887" i="1"/>
  <c r="BV886" i="1"/>
  <c r="BV885" i="1"/>
  <c r="BV884" i="1"/>
  <c r="BV883" i="1"/>
  <c r="BV882" i="1"/>
  <c r="BV881" i="1"/>
  <c r="BV880" i="1"/>
  <c r="BV879" i="1"/>
  <c r="BV878" i="1"/>
  <c r="BV877" i="1"/>
  <c r="BV876" i="1"/>
  <c r="BV875" i="1"/>
  <c r="BV874" i="1"/>
  <c r="BV873" i="1"/>
  <c r="BV872" i="1"/>
  <c r="BV871" i="1"/>
  <c r="BV870" i="1"/>
  <c r="BV869" i="1"/>
  <c r="BV868" i="1"/>
  <c r="BV867" i="1"/>
  <c r="BV866" i="1"/>
  <c r="BV865" i="1"/>
  <c r="BV864" i="1"/>
  <c r="BV863" i="1"/>
  <c r="BV862" i="1"/>
  <c r="BV861" i="1"/>
  <c r="BV860" i="1"/>
  <c r="BV859" i="1"/>
  <c r="BV858" i="1"/>
  <c r="BV857" i="1"/>
  <c r="BV856" i="1"/>
  <c r="BV855" i="1"/>
  <c r="BV854" i="1"/>
  <c r="BV853" i="1"/>
  <c r="BV852" i="1"/>
  <c r="BV851" i="1"/>
  <c r="BV850" i="1"/>
  <c r="BV849" i="1"/>
  <c r="BV848" i="1"/>
  <c r="BV847" i="1"/>
  <c r="BV846" i="1"/>
  <c r="BV845" i="1"/>
  <c r="BV844" i="1"/>
  <c r="BV843" i="1"/>
  <c r="BV842" i="1"/>
  <c r="BV841" i="1"/>
  <c r="BV840" i="1"/>
  <c r="BV839" i="1"/>
  <c r="BV838" i="1"/>
  <c r="BV837" i="1"/>
  <c r="BV836" i="1"/>
  <c r="BV835" i="1"/>
  <c r="BV834" i="1"/>
  <c r="BV833" i="1"/>
  <c r="BV832" i="1"/>
  <c r="BV831" i="1"/>
  <c r="BV830" i="1"/>
  <c r="BV829" i="1"/>
  <c r="BV828" i="1"/>
  <c r="BV827" i="1"/>
  <c r="BV826" i="1"/>
  <c r="BV825" i="1"/>
  <c r="BV824" i="1"/>
  <c r="BV823" i="1"/>
  <c r="BV822" i="1"/>
  <c r="BV821" i="1"/>
  <c r="BV820" i="1"/>
  <c r="BV819" i="1"/>
  <c r="BV818" i="1"/>
  <c r="BV817" i="1"/>
  <c r="BV816" i="1"/>
  <c r="BV815" i="1"/>
  <c r="BV814" i="1"/>
  <c r="BV813" i="1"/>
  <c r="BV812" i="1"/>
  <c r="BV811" i="1"/>
  <c r="BV810" i="1"/>
  <c r="BV809" i="1"/>
  <c r="BV808" i="1"/>
  <c r="BV807" i="1"/>
  <c r="BV806" i="1"/>
  <c r="BV805" i="1"/>
  <c r="BV804" i="1"/>
  <c r="BV803" i="1"/>
  <c r="BV802" i="1"/>
  <c r="BV801" i="1"/>
  <c r="BV800" i="1"/>
  <c r="BV799" i="1"/>
  <c r="BV798" i="1"/>
  <c r="BV797" i="1"/>
  <c r="BV796" i="1"/>
  <c r="BV795" i="1"/>
  <c r="BV794" i="1"/>
  <c r="BV793" i="1"/>
  <c r="BV792" i="1"/>
  <c r="BV791" i="1"/>
  <c r="BV790" i="1"/>
  <c r="BV789" i="1"/>
  <c r="BV788" i="1"/>
  <c r="BV787" i="1"/>
  <c r="BV786" i="1"/>
  <c r="BV785" i="1"/>
  <c r="BV784" i="1"/>
  <c r="BV783" i="1"/>
  <c r="BV782" i="1"/>
  <c r="BV781" i="1"/>
  <c r="BV780" i="1"/>
  <c r="BV779" i="1"/>
  <c r="BV778" i="1"/>
  <c r="BV777" i="1"/>
  <c r="BV776" i="1"/>
  <c r="BV775" i="1"/>
  <c r="BV774" i="1"/>
  <c r="BV773" i="1"/>
  <c r="BV772" i="1"/>
  <c r="BV771" i="1"/>
  <c r="BV770" i="1"/>
  <c r="BV769" i="1"/>
  <c r="BV768" i="1"/>
  <c r="BV767" i="1"/>
  <c r="BV766" i="1"/>
  <c r="BV765" i="1"/>
  <c r="BV764" i="1"/>
  <c r="BV763" i="1"/>
  <c r="BV762" i="1"/>
  <c r="BV761" i="1"/>
  <c r="BV760" i="1"/>
  <c r="BV759" i="1"/>
  <c r="BV758" i="1"/>
  <c r="BV757" i="1"/>
  <c r="BV756" i="1"/>
  <c r="BV755" i="1"/>
  <c r="BV754" i="1"/>
  <c r="BV753" i="1"/>
  <c r="BV752" i="1"/>
  <c r="BV751" i="1"/>
  <c r="BV750" i="1"/>
  <c r="BV749" i="1"/>
  <c r="BV748" i="1"/>
  <c r="BV747" i="1"/>
  <c r="BV746" i="1"/>
  <c r="BV745" i="1"/>
  <c r="BV744" i="1"/>
  <c r="BV743" i="1"/>
  <c r="BV742" i="1"/>
  <c r="BV741" i="1"/>
  <c r="BV740" i="1"/>
  <c r="BV739" i="1"/>
  <c r="BV738" i="1"/>
  <c r="BV737" i="1"/>
  <c r="BV736" i="1"/>
  <c r="BV735" i="1"/>
  <c r="BV734" i="1"/>
  <c r="BV733" i="1"/>
  <c r="BV732" i="1"/>
  <c r="BV731" i="1"/>
  <c r="BV730" i="1"/>
  <c r="BV729" i="1"/>
  <c r="BV728" i="1"/>
  <c r="BV727" i="1"/>
  <c r="BV726" i="1"/>
  <c r="BV725" i="1"/>
  <c r="BV724" i="1"/>
  <c r="BV723" i="1"/>
  <c r="BV722" i="1"/>
  <c r="BV721" i="1"/>
  <c r="BV720" i="1"/>
  <c r="BV719" i="1"/>
  <c r="BV718" i="1"/>
  <c r="BV717" i="1"/>
  <c r="BV716" i="1"/>
  <c r="BV715" i="1"/>
  <c r="BV714" i="1"/>
  <c r="BV713" i="1"/>
  <c r="BV712" i="1"/>
  <c r="BV711" i="1"/>
  <c r="BV710" i="1"/>
  <c r="BV709" i="1"/>
  <c r="BV708" i="1"/>
  <c r="BV707" i="1"/>
  <c r="BV706" i="1"/>
  <c r="BV705" i="1"/>
  <c r="BV704" i="1"/>
  <c r="BV703" i="1"/>
  <c r="BV702" i="1"/>
  <c r="BV701" i="1"/>
  <c r="BV700" i="1"/>
  <c r="BV699" i="1"/>
  <c r="BV698" i="1"/>
  <c r="BV697" i="1"/>
  <c r="BV696" i="1"/>
  <c r="BV695" i="1"/>
  <c r="BV694" i="1"/>
  <c r="BV693" i="1"/>
  <c r="BV692" i="1"/>
  <c r="BV691" i="1"/>
  <c r="BV690" i="1"/>
  <c r="BV689" i="1"/>
  <c r="BV688" i="1"/>
  <c r="BV687" i="1"/>
  <c r="BV686" i="1"/>
  <c r="BV685" i="1"/>
  <c r="BV684" i="1"/>
  <c r="BV683" i="1"/>
  <c r="BV682" i="1"/>
  <c r="BV681" i="1"/>
  <c r="BV680" i="1"/>
  <c r="BV679" i="1"/>
  <c r="BV678" i="1"/>
  <c r="BV677" i="1"/>
  <c r="BV676" i="1"/>
  <c r="BV675" i="1"/>
  <c r="BV674" i="1"/>
  <c r="BV673" i="1"/>
  <c r="BV672" i="1"/>
  <c r="BV671" i="1"/>
  <c r="BV670" i="1"/>
  <c r="BV669" i="1"/>
  <c r="BV668" i="1"/>
  <c r="BV667" i="1"/>
  <c r="BV666" i="1"/>
  <c r="BV665" i="1"/>
  <c r="BV664" i="1"/>
  <c r="BV663" i="1"/>
  <c r="BV662" i="1"/>
  <c r="BV661" i="1"/>
  <c r="BV660" i="1"/>
  <c r="BV659" i="1"/>
  <c r="BV658" i="1"/>
  <c r="BV657" i="1"/>
  <c r="BV656" i="1"/>
  <c r="BV655" i="1"/>
  <c r="BV654" i="1"/>
  <c r="BV653" i="1"/>
  <c r="BV652" i="1"/>
  <c r="BV651" i="1"/>
  <c r="BV650" i="1"/>
  <c r="BV649" i="1"/>
  <c r="BV648" i="1"/>
  <c r="BV647" i="1"/>
  <c r="BV646" i="1"/>
  <c r="BV645" i="1"/>
  <c r="BV644" i="1"/>
  <c r="BV643" i="1"/>
  <c r="BV642" i="1"/>
  <c r="BV641" i="1"/>
  <c r="BV640" i="1"/>
  <c r="BV639" i="1"/>
  <c r="BV638" i="1"/>
  <c r="BV637" i="1"/>
  <c r="BV636" i="1"/>
  <c r="BV635" i="1"/>
  <c r="BV634" i="1"/>
  <c r="BV633" i="1"/>
  <c r="BV632" i="1"/>
  <c r="BV631" i="1"/>
  <c r="BV630" i="1"/>
  <c r="BV629" i="1"/>
  <c r="BV628" i="1"/>
  <c r="BV627" i="1"/>
  <c r="BV626" i="1"/>
  <c r="BV625" i="1"/>
  <c r="BV624" i="1"/>
  <c r="BV623" i="1"/>
  <c r="BV622" i="1"/>
  <c r="BV621" i="1"/>
  <c r="BV620" i="1"/>
  <c r="BV619" i="1"/>
  <c r="BV618" i="1"/>
  <c r="BV617" i="1"/>
  <c r="BV616" i="1"/>
  <c r="BV615" i="1"/>
  <c r="BV614" i="1"/>
  <c r="BV613" i="1"/>
  <c r="BV612" i="1"/>
  <c r="BV611" i="1"/>
  <c r="BV610" i="1"/>
  <c r="BV609" i="1"/>
  <c r="BV608" i="1"/>
  <c r="BV607" i="1"/>
  <c r="BV606" i="1"/>
  <c r="BV605" i="1"/>
  <c r="BV604" i="1"/>
  <c r="BV603" i="1"/>
  <c r="BV602" i="1"/>
  <c r="BV601" i="1"/>
  <c r="BV600" i="1"/>
  <c r="BV599" i="1"/>
  <c r="BV598" i="1"/>
  <c r="BV597" i="1"/>
  <c r="BV596" i="1"/>
  <c r="BV595" i="1"/>
  <c r="BV594" i="1"/>
  <c r="BV593" i="1"/>
  <c r="BV592" i="1"/>
  <c r="BV591" i="1"/>
  <c r="BV590" i="1"/>
  <c r="BV589" i="1"/>
  <c r="BV588" i="1"/>
  <c r="BV587" i="1"/>
  <c r="BV586" i="1"/>
  <c r="BV585" i="1"/>
  <c r="BV584" i="1"/>
  <c r="BV583" i="1"/>
  <c r="BV582" i="1"/>
  <c r="BV581" i="1"/>
  <c r="BV580" i="1"/>
  <c r="BV579" i="1"/>
  <c r="BV578" i="1"/>
  <c r="BV577" i="1"/>
  <c r="BV576" i="1"/>
  <c r="BV575" i="1"/>
  <c r="BV574" i="1"/>
  <c r="BV573" i="1"/>
  <c r="BV572" i="1"/>
  <c r="BV571" i="1"/>
  <c r="BV570" i="1"/>
  <c r="BV569" i="1"/>
  <c r="BV568" i="1"/>
  <c r="BV567" i="1"/>
  <c r="BV566" i="1"/>
  <c r="BV565" i="1"/>
  <c r="BV564" i="1"/>
  <c r="BV563" i="1"/>
  <c r="BV562" i="1"/>
  <c r="BV561" i="1"/>
  <c r="BV560" i="1"/>
  <c r="BV559" i="1"/>
  <c r="BV558" i="1"/>
  <c r="BV557" i="1"/>
  <c r="BV556" i="1"/>
  <c r="BV555" i="1"/>
  <c r="BV554" i="1"/>
  <c r="BV553" i="1"/>
  <c r="BV552" i="1"/>
  <c r="BV551" i="1"/>
  <c r="BV550" i="1"/>
  <c r="BV549" i="1"/>
  <c r="BV548" i="1"/>
  <c r="BV547" i="1"/>
  <c r="BV546" i="1"/>
  <c r="BV545" i="1"/>
  <c r="BV544" i="1"/>
  <c r="BV543" i="1"/>
  <c r="BV542" i="1"/>
  <c r="BV541" i="1"/>
  <c r="BV540" i="1"/>
  <c r="BV539" i="1"/>
  <c r="BV538" i="1"/>
  <c r="BV537" i="1"/>
  <c r="BV536" i="1"/>
  <c r="BV535" i="1"/>
  <c r="BV534" i="1"/>
  <c r="BV533" i="1"/>
  <c r="BV532" i="1"/>
  <c r="BV531" i="1"/>
  <c r="BV530" i="1"/>
  <c r="BV529" i="1"/>
  <c r="BV528" i="1"/>
  <c r="BV527" i="1"/>
  <c r="BV526" i="1"/>
  <c r="BV525" i="1"/>
  <c r="BV524" i="1"/>
  <c r="BV523" i="1"/>
  <c r="BV522" i="1"/>
  <c r="BV521" i="1"/>
  <c r="BV520" i="1"/>
  <c r="BV519" i="1"/>
  <c r="BV518" i="1"/>
  <c r="BV517" i="1"/>
  <c r="BV516" i="1"/>
  <c r="BV515" i="1"/>
  <c r="BV514" i="1"/>
  <c r="BV513" i="1"/>
  <c r="BV512" i="1"/>
  <c r="BV511" i="1"/>
  <c r="BV510" i="1"/>
  <c r="BV509" i="1"/>
  <c r="BV508" i="1"/>
  <c r="BV507" i="1"/>
  <c r="BV506" i="1"/>
  <c r="BV505" i="1"/>
  <c r="BV504" i="1"/>
  <c r="BV503" i="1"/>
  <c r="BV502" i="1"/>
  <c r="BV501" i="1"/>
  <c r="BV500" i="1"/>
  <c r="BV499" i="1"/>
  <c r="BV498" i="1"/>
  <c r="BV497" i="1"/>
  <c r="BV496" i="1"/>
  <c r="BV495" i="1"/>
  <c r="BV494" i="1"/>
  <c r="BV493" i="1"/>
  <c r="BV492" i="1"/>
  <c r="BV491" i="1"/>
  <c r="BV490" i="1"/>
  <c r="BV489" i="1"/>
  <c r="BV488" i="1"/>
  <c r="BV487" i="1"/>
  <c r="BV486" i="1"/>
  <c r="BV485" i="1"/>
  <c r="BV484" i="1"/>
  <c r="BV483" i="1"/>
  <c r="BV482" i="1"/>
  <c r="BV481" i="1"/>
  <c r="BV480" i="1"/>
  <c r="BV479" i="1"/>
  <c r="BV478" i="1"/>
  <c r="BV477" i="1"/>
  <c r="BV476" i="1"/>
  <c r="BV475" i="1"/>
  <c r="BV474" i="1"/>
  <c r="BV473" i="1"/>
  <c r="BV472" i="1"/>
  <c r="BV471" i="1"/>
  <c r="BV470" i="1"/>
  <c r="BV469" i="1"/>
  <c r="BV468" i="1"/>
  <c r="BV467" i="1"/>
  <c r="BV466" i="1"/>
  <c r="BV465" i="1"/>
  <c r="BV464" i="1"/>
  <c r="BV463" i="1"/>
  <c r="BV462" i="1"/>
  <c r="BV461" i="1"/>
  <c r="BV460" i="1"/>
  <c r="BV459" i="1"/>
  <c r="BV458" i="1"/>
  <c r="BV457" i="1"/>
  <c r="BV456" i="1"/>
  <c r="BV455" i="1"/>
  <c r="BV454" i="1"/>
  <c r="BV453" i="1"/>
  <c r="BV452" i="1"/>
  <c r="BV451" i="1"/>
  <c r="BV450" i="1"/>
  <c r="BV449" i="1"/>
  <c r="BV448" i="1"/>
  <c r="BV447" i="1"/>
  <c r="BV446" i="1"/>
  <c r="BV445" i="1"/>
  <c r="BV444" i="1"/>
  <c r="BV443" i="1"/>
  <c r="BV442" i="1"/>
  <c r="BV441" i="1"/>
  <c r="BV440" i="1"/>
  <c r="BV439" i="1"/>
  <c r="BV438" i="1"/>
  <c r="BV437" i="1"/>
  <c r="BV436" i="1"/>
  <c r="BV435" i="1"/>
  <c r="BV434" i="1"/>
  <c r="BV433" i="1"/>
  <c r="BV432" i="1"/>
  <c r="BV431" i="1"/>
  <c r="BV430" i="1"/>
  <c r="BV429" i="1"/>
  <c r="BV428" i="1"/>
  <c r="BV427" i="1"/>
  <c r="BV426" i="1"/>
  <c r="BV425" i="1"/>
  <c r="BV424" i="1"/>
  <c r="BV423" i="1"/>
  <c r="BV422" i="1"/>
  <c r="BV421" i="1"/>
  <c r="BV420" i="1"/>
  <c r="BV419" i="1"/>
  <c r="BV418" i="1"/>
  <c r="BV417" i="1"/>
  <c r="BV416" i="1"/>
  <c r="BV415" i="1"/>
  <c r="BV414" i="1"/>
  <c r="BV413" i="1"/>
  <c r="BV412" i="1"/>
  <c r="BV411" i="1"/>
  <c r="BV410" i="1"/>
  <c r="BV409" i="1"/>
  <c r="BV408" i="1"/>
  <c r="BV407" i="1"/>
  <c r="BV406" i="1"/>
  <c r="BV405" i="1"/>
  <c r="BV404" i="1"/>
  <c r="BV403" i="1"/>
  <c r="BV402" i="1"/>
  <c r="BV401" i="1"/>
  <c r="BV400" i="1"/>
  <c r="BV399" i="1"/>
  <c r="BV398" i="1"/>
  <c r="BV397" i="1"/>
  <c r="BV396" i="1"/>
  <c r="BV395" i="1"/>
  <c r="BV394" i="1"/>
  <c r="BV393" i="1"/>
  <c r="BV392" i="1"/>
  <c r="BV391" i="1"/>
  <c r="BV390" i="1"/>
  <c r="BV389" i="1"/>
  <c r="BV388" i="1"/>
  <c r="BV387" i="1"/>
  <c r="BV386" i="1"/>
  <c r="BV385" i="1"/>
  <c r="BV384" i="1"/>
  <c r="BV383" i="1"/>
  <c r="BV382" i="1"/>
  <c r="BV381" i="1"/>
  <c r="BV380" i="1"/>
  <c r="BV379" i="1"/>
  <c r="BV378" i="1"/>
  <c r="BV377" i="1"/>
  <c r="BV376" i="1"/>
  <c r="BV375" i="1"/>
  <c r="BV374" i="1"/>
  <c r="BV373" i="1"/>
  <c r="BV372" i="1"/>
  <c r="BV371" i="1"/>
  <c r="BV370" i="1"/>
  <c r="BV369" i="1"/>
  <c r="BV368" i="1"/>
  <c r="BV367" i="1"/>
  <c r="BV366" i="1"/>
  <c r="BV365" i="1"/>
  <c r="BV364" i="1"/>
  <c r="BV363" i="1"/>
  <c r="BV362" i="1"/>
  <c r="BV361" i="1"/>
  <c r="BV360" i="1"/>
  <c r="BV359" i="1"/>
  <c r="BV358" i="1"/>
  <c r="BV357" i="1"/>
  <c r="BV356" i="1"/>
  <c r="BV355" i="1"/>
  <c r="BV354" i="1"/>
  <c r="BV353" i="1"/>
  <c r="BV352" i="1"/>
  <c r="BV351" i="1"/>
  <c r="BV350" i="1"/>
  <c r="BV349" i="1"/>
  <c r="BV348" i="1"/>
  <c r="BV347" i="1"/>
  <c r="BV346" i="1"/>
  <c r="BV345" i="1"/>
  <c r="BV344" i="1"/>
  <c r="BV343" i="1"/>
  <c r="BV342" i="1"/>
  <c r="BV341" i="1"/>
  <c r="BV340" i="1"/>
  <c r="BV339" i="1"/>
  <c r="BV338" i="1"/>
  <c r="BV337" i="1"/>
  <c r="BV336" i="1"/>
  <c r="BV335" i="1"/>
  <c r="BV334" i="1"/>
  <c r="BV333" i="1"/>
  <c r="BV332" i="1"/>
  <c r="BV331" i="1"/>
  <c r="BV330" i="1"/>
  <c r="BV329" i="1"/>
  <c r="BV328" i="1"/>
  <c r="BV327" i="1"/>
  <c r="BV326" i="1"/>
  <c r="BV325" i="1"/>
  <c r="BV324" i="1"/>
  <c r="BV323" i="1"/>
  <c r="BV322" i="1"/>
  <c r="BV321" i="1"/>
  <c r="BV320" i="1"/>
  <c r="BV319" i="1"/>
  <c r="BV318" i="1"/>
  <c r="BV317" i="1"/>
  <c r="BV316" i="1"/>
  <c r="BV315" i="1"/>
  <c r="BV314" i="1"/>
  <c r="BV313" i="1"/>
  <c r="BV312" i="1"/>
  <c r="BV311" i="1"/>
  <c r="BV310" i="1"/>
  <c r="BV309" i="1"/>
  <c r="BV308" i="1"/>
  <c r="BV307" i="1"/>
  <c r="BV306" i="1"/>
  <c r="BV305" i="1"/>
  <c r="BV304" i="1"/>
  <c r="BV303" i="1"/>
  <c r="BV302" i="1"/>
  <c r="BV301" i="1"/>
  <c r="BV300" i="1"/>
  <c r="BV299" i="1"/>
  <c r="BV298" i="1"/>
  <c r="BV297" i="1"/>
  <c r="BV296" i="1"/>
  <c r="BV295" i="1"/>
  <c r="BV294" i="1"/>
  <c r="BV293" i="1"/>
  <c r="BV292" i="1"/>
  <c r="BV291" i="1"/>
  <c r="BV290" i="1"/>
  <c r="BV289" i="1"/>
  <c r="BV288" i="1"/>
  <c r="BV287" i="1"/>
  <c r="BV286" i="1"/>
  <c r="BV285" i="1"/>
  <c r="BV284" i="1"/>
  <c r="BV283" i="1"/>
  <c r="BV282" i="1"/>
  <c r="BV281" i="1"/>
  <c r="BV280" i="1"/>
  <c r="BV279" i="1"/>
  <c r="BV278" i="1"/>
  <c r="BV277" i="1"/>
  <c r="BV276" i="1"/>
  <c r="BV275" i="1"/>
  <c r="BV274" i="1"/>
  <c r="BV273" i="1"/>
  <c r="BV272" i="1"/>
  <c r="BV271" i="1"/>
  <c r="BV270" i="1"/>
  <c r="BV269" i="1"/>
  <c r="BV268" i="1"/>
  <c r="BV267" i="1"/>
  <c r="BV266" i="1"/>
  <c r="BV265" i="1"/>
  <c r="BV264" i="1"/>
  <c r="BV263" i="1"/>
  <c r="BV262" i="1"/>
  <c r="BV261" i="1"/>
  <c r="BV260" i="1"/>
  <c r="BV259" i="1"/>
  <c r="BV258" i="1"/>
  <c r="BV257" i="1"/>
  <c r="BV256" i="1"/>
  <c r="BV255" i="1"/>
  <c r="BV254" i="1"/>
  <c r="BV253" i="1"/>
  <c r="BV252" i="1"/>
  <c r="BV251" i="1"/>
  <c r="BV250" i="1"/>
  <c r="BV249" i="1"/>
  <c r="BV248" i="1"/>
  <c r="BV247" i="1"/>
  <c r="BV246" i="1"/>
  <c r="BV245" i="1"/>
  <c r="BV244" i="1"/>
  <c r="BV243" i="1"/>
  <c r="BV242" i="1"/>
  <c r="BV241" i="1"/>
  <c r="BV240" i="1"/>
  <c r="BV239" i="1"/>
  <c r="BV238" i="1"/>
  <c r="BV237" i="1"/>
  <c r="BV236" i="1"/>
  <c r="BV235" i="1"/>
  <c r="BV234" i="1"/>
  <c r="BV233" i="1"/>
  <c r="BV232" i="1"/>
  <c r="BV231" i="1"/>
  <c r="BV230" i="1"/>
  <c r="BV229" i="1"/>
  <c r="BV228" i="1"/>
  <c r="BV227" i="1"/>
  <c r="BV226" i="1"/>
  <c r="BV225" i="1"/>
  <c r="BV224" i="1"/>
  <c r="BV223" i="1"/>
  <c r="BV222" i="1"/>
  <c r="BV221" i="1"/>
  <c r="BV220" i="1"/>
  <c r="BV219" i="1"/>
  <c r="BV218" i="1"/>
  <c r="BV217" i="1"/>
  <c r="BV216" i="1"/>
  <c r="BV215" i="1"/>
  <c r="BV214" i="1"/>
  <c r="BV213" i="1"/>
  <c r="BV212" i="1"/>
  <c r="BV211" i="1"/>
  <c r="BV210" i="1"/>
  <c r="BV209" i="1"/>
  <c r="BV208" i="1"/>
  <c r="BV207" i="1"/>
  <c r="BV206" i="1"/>
  <c r="BV205" i="1"/>
  <c r="BV204" i="1"/>
  <c r="BV203" i="1"/>
  <c r="BV202" i="1"/>
  <c r="BV201" i="1"/>
  <c r="BV200" i="1"/>
  <c r="BV199" i="1"/>
  <c r="BV198" i="1"/>
  <c r="BV197" i="1"/>
  <c r="BV196" i="1"/>
  <c r="BV195" i="1"/>
  <c r="BV194" i="1"/>
  <c r="BV193" i="1"/>
  <c r="BV192" i="1"/>
  <c r="BV191" i="1"/>
  <c r="BV190" i="1"/>
  <c r="BV189" i="1"/>
  <c r="BV188" i="1"/>
  <c r="BV187" i="1"/>
  <c r="BV186" i="1"/>
  <c r="BV185" i="1"/>
  <c r="BV184" i="1"/>
  <c r="BV183" i="1"/>
  <c r="BV182" i="1"/>
  <c r="BV181" i="1"/>
  <c r="BV180" i="1"/>
  <c r="BV179" i="1"/>
  <c r="BV178" i="1"/>
  <c r="BV177" i="1"/>
  <c r="BV176" i="1"/>
  <c r="BV175" i="1"/>
  <c r="BV174" i="1"/>
  <c r="BV173" i="1"/>
  <c r="BV172" i="1"/>
  <c r="BV171" i="1"/>
  <c r="BV170" i="1"/>
  <c r="BV169" i="1"/>
  <c r="BV168" i="1"/>
  <c r="BV167" i="1"/>
  <c r="BV166" i="1"/>
  <c r="BV165" i="1"/>
  <c r="BV164" i="1"/>
  <c r="BV163" i="1"/>
  <c r="BV162" i="1"/>
  <c r="BV161" i="1"/>
  <c r="BV160" i="1"/>
  <c r="BV159" i="1"/>
  <c r="BV158" i="1"/>
  <c r="BV157" i="1"/>
  <c r="BV156" i="1"/>
  <c r="BV155" i="1"/>
  <c r="BV154" i="1"/>
  <c r="BV153" i="1"/>
  <c r="BV152" i="1"/>
  <c r="BV151" i="1"/>
  <c r="BV150" i="1"/>
  <c r="BV149" i="1"/>
  <c r="BV148" i="1"/>
  <c r="BV147" i="1"/>
  <c r="BV146" i="1"/>
  <c r="BV145" i="1"/>
  <c r="BV144" i="1"/>
  <c r="BV143" i="1"/>
  <c r="BV142" i="1"/>
  <c r="BV141" i="1"/>
  <c r="BV140" i="1"/>
  <c r="BV139" i="1"/>
  <c r="BV138" i="1"/>
  <c r="BV137" i="1"/>
  <c r="BV136" i="1"/>
  <c r="BV135" i="1"/>
  <c r="BV134" i="1"/>
  <c r="BV133" i="1"/>
  <c r="BV132" i="1"/>
  <c r="BV131" i="1"/>
  <c r="BV130" i="1"/>
  <c r="BV129" i="1"/>
  <c r="BV128" i="1"/>
  <c r="BV127" i="1"/>
  <c r="BV126" i="1"/>
  <c r="BV125" i="1"/>
  <c r="BV124" i="1"/>
  <c r="BV123" i="1"/>
  <c r="BV122" i="1"/>
  <c r="BV121" i="1"/>
  <c r="BV120" i="1"/>
  <c r="BV119" i="1"/>
  <c r="BV118" i="1"/>
  <c r="BV117" i="1"/>
  <c r="BV116" i="1"/>
  <c r="BV115" i="1"/>
  <c r="BV114" i="1"/>
  <c r="BV113" i="1"/>
  <c r="BV112" i="1"/>
  <c r="BV111" i="1"/>
  <c r="BV110" i="1"/>
  <c r="BV109" i="1"/>
  <c r="BV108" i="1"/>
  <c r="BV107" i="1"/>
  <c r="BV106" i="1"/>
  <c r="BV105" i="1"/>
  <c r="BV104" i="1"/>
  <c r="BV103" i="1"/>
  <c r="BV102" i="1"/>
  <c r="BV101" i="1"/>
  <c r="BV100" i="1"/>
  <c r="BV99" i="1"/>
  <c r="BV98" i="1"/>
  <c r="BV97" i="1"/>
  <c r="BV96" i="1"/>
  <c r="BV95" i="1"/>
  <c r="BV94" i="1"/>
  <c r="BV93" i="1"/>
  <c r="BV92" i="1"/>
  <c r="BV91" i="1"/>
  <c r="BV90" i="1"/>
  <c r="BV89" i="1"/>
  <c r="BV88" i="1"/>
  <c r="BV87" i="1"/>
  <c r="BV86" i="1"/>
  <c r="BV1119" i="1"/>
  <c r="BV1120" i="1"/>
  <c r="BV1121" i="1"/>
  <c r="BV1122" i="1"/>
  <c r="BV1123" i="1"/>
  <c r="BV1124" i="1"/>
  <c r="Q33" i="1" l="1"/>
  <c r="Q30" i="1"/>
  <c r="Q36" i="1"/>
  <c r="P27" i="1"/>
  <c r="Q29" i="1"/>
  <c r="P40" i="1"/>
  <c r="P49" i="1"/>
  <c r="Q41" i="1"/>
  <c r="P23" i="1"/>
  <c r="P47" i="1"/>
  <c r="P24" i="1"/>
  <c r="P35" i="1"/>
  <c r="P44" i="1"/>
  <c r="Q32" i="1"/>
  <c r="Q26" i="1"/>
  <c r="Q48" i="1"/>
  <c r="Q25" i="1"/>
  <c r="Q47" i="1"/>
  <c r="P39" i="1"/>
  <c r="P45" i="1"/>
  <c r="P36" i="1"/>
  <c r="P48" i="1"/>
  <c r="P42" i="1"/>
  <c r="Q49" i="1"/>
  <c r="P30" i="1"/>
  <c r="P34" i="1"/>
  <c r="Q24" i="1"/>
  <c r="Q23" i="1"/>
  <c r="Q22" i="1"/>
  <c r="Q44" i="1"/>
  <c r="P50" i="1"/>
  <c r="Q28" i="1"/>
  <c r="Q38" i="1"/>
  <c r="Q50" i="1"/>
  <c r="P32" i="1"/>
  <c r="Q39" i="1"/>
  <c r="P38" i="1"/>
  <c r="Q45" i="1"/>
  <c r="P26" i="1"/>
  <c r="P25" i="1"/>
  <c r="Q35" i="1"/>
  <c r="P41" i="1"/>
  <c r="Q34" i="1"/>
  <c r="P46" i="1"/>
  <c r="Q42" i="1"/>
  <c r="P33" i="1"/>
  <c r="Q46" i="1"/>
  <c r="Q27" i="1"/>
  <c r="P29" i="1"/>
  <c r="P28" i="1"/>
  <c r="Q40" i="1"/>
  <c r="P22" i="1"/>
  <c r="P8" i="1"/>
  <c r="Q8" i="1"/>
  <c r="P20" i="1"/>
  <c r="Q20" i="1"/>
  <c r="Q9" i="1"/>
  <c r="P9" i="1"/>
  <c r="Q13" i="1"/>
  <c r="P13" i="1"/>
  <c r="Q17" i="1"/>
  <c r="P17" i="1"/>
  <c r="Q16" i="1"/>
  <c r="P16" i="1"/>
  <c r="Q10" i="1"/>
  <c r="P10" i="1"/>
  <c r="Q14" i="1"/>
  <c r="P14" i="1"/>
  <c r="Q18" i="1"/>
  <c r="P18" i="1"/>
  <c r="P12" i="1"/>
  <c r="Q12" i="1"/>
  <c r="P11" i="1"/>
  <c r="Q11" i="1"/>
  <c r="P15" i="1"/>
  <c r="Q15" i="1"/>
  <c r="P19" i="1"/>
  <c r="Q19" i="1"/>
  <c r="FS18" i="1"/>
  <c r="FS17" i="1"/>
  <c r="FS16" i="1"/>
  <c r="FS15" i="1"/>
  <c r="FS14" i="1"/>
  <c r="FS13" i="1"/>
  <c r="FS12" i="1"/>
  <c r="FS11" i="1"/>
  <c r="FS10" i="1"/>
  <c r="FS9" i="1"/>
  <c r="FS7" i="1"/>
  <c r="FS19" i="1" l="1"/>
  <c r="FS21" i="1" s="1"/>
  <c r="EM57" i="1"/>
  <c r="EM56" i="1"/>
  <c r="EM55" i="1"/>
  <c r="EM54" i="1"/>
  <c r="EM53" i="1"/>
  <c r="EM52" i="1"/>
  <c r="EM51" i="1"/>
  <c r="EM50" i="1"/>
  <c r="EM49" i="1"/>
  <c r="EM48" i="1"/>
  <c r="EM47" i="1"/>
  <c r="EM46" i="1"/>
  <c r="EM45" i="1"/>
  <c r="EM44" i="1"/>
  <c r="EM43" i="1"/>
  <c r="EM42" i="1"/>
  <c r="EM41" i="1"/>
  <c r="EM40" i="1"/>
  <c r="EM39" i="1"/>
  <c r="EM38" i="1"/>
  <c r="EU57" i="1"/>
  <c r="EU56" i="1"/>
  <c r="EU55" i="1"/>
  <c r="EU54" i="1"/>
  <c r="EU53" i="1"/>
  <c r="EU52" i="1"/>
  <c r="EU51" i="1"/>
  <c r="EU50" i="1"/>
  <c r="EU49" i="1"/>
  <c r="EU48" i="1"/>
  <c r="EU47" i="1"/>
  <c r="EU46" i="1"/>
  <c r="EU45" i="1"/>
  <c r="EU44" i="1"/>
  <c r="EU43" i="1"/>
  <c r="EU42" i="1"/>
  <c r="EU41" i="1"/>
  <c r="EU40" i="1"/>
  <c r="EU39" i="1"/>
  <c r="EU38" i="1"/>
  <c r="EO22" i="1"/>
  <c r="EO8" i="1"/>
  <c r="EO20" i="1"/>
  <c r="EO19" i="1"/>
  <c r="EO18" i="1"/>
  <c r="EO17" i="1"/>
  <c r="EO16" i="1"/>
  <c r="EO15" i="1"/>
  <c r="EO14" i="1"/>
  <c r="EO13" i="1"/>
  <c r="EO12" i="1"/>
  <c r="EO11" i="1"/>
  <c r="EO10" i="1"/>
  <c r="EO9" i="1"/>
  <c r="EN20" i="1"/>
  <c r="EN19" i="1"/>
  <c r="EN18" i="1"/>
  <c r="EN17" i="1"/>
  <c r="EN16" i="1"/>
  <c r="EN15" i="1"/>
  <c r="EN14" i="1"/>
  <c r="EN13" i="1"/>
  <c r="EN12" i="1"/>
  <c r="EN11" i="1"/>
  <c r="EN10" i="1"/>
  <c r="EN9" i="1"/>
  <c r="EN8" i="1"/>
  <c r="EL20" i="1"/>
  <c r="EM20" i="1" s="1"/>
  <c r="EL19" i="1"/>
  <c r="EM19" i="1" s="1"/>
  <c r="EL18" i="1"/>
  <c r="EM18" i="1" s="1"/>
  <c r="EL17" i="1"/>
  <c r="EM17" i="1" s="1"/>
  <c r="EL16" i="1"/>
  <c r="EM16" i="1" s="1"/>
  <c r="EL15" i="1"/>
  <c r="EM15" i="1" s="1"/>
  <c r="EL14" i="1"/>
  <c r="EM14" i="1" s="1"/>
  <c r="EL13" i="1"/>
  <c r="EM13" i="1" s="1"/>
  <c r="EL12" i="1"/>
  <c r="EM12" i="1" s="1"/>
  <c r="EL11" i="1"/>
  <c r="EM11" i="1" s="1"/>
  <c r="EL10" i="1"/>
  <c r="EM10" i="1" s="1"/>
  <c r="EL9" i="1"/>
  <c r="EL8" i="1"/>
  <c r="F50" i="1" l="1"/>
  <c r="FS28" i="1"/>
  <c r="EN22" i="1"/>
  <c r="CA75" i="1"/>
  <c r="BZ75" i="1"/>
  <c r="BY75" i="1"/>
  <c r="BX75" i="1"/>
  <c r="BX74" i="1"/>
  <c r="BW75" i="1"/>
  <c r="I50" i="1"/>
  <c r="CK106" i="1" l="1"/>
  <c r="V20" i="1" l="1"/>
  <c r="V19" i="1"/>
  <c r="V18" i="1"/>
  <c r="V17" i="1"/>
  <c r="V14" i="1"/>
  <c r="H50" i="1" l="1"/>
  <c r="GE26" i="1"/>
  <c r="GQ26" i="1"/>
  <c r="GP26" i="1"/>
  <c r="GO26" i="1"/>
  <c r="GN26" i="1"/>
  <c r="GM26" i="1"/>
  <c r="GL26" i="1"/>
  <c r="GK26" i="1"/>
  <c r="GJ26" i="1"/>
  <c r="GI26" i="1"/>
  <c r="GH26" i="1"/>
  <c r="GG26" i="1"/>
  <c r="GF26" i="1"/>
  <c r="EZ50" i="1"/>
  <c r="BC96" i="1"/>
  <c r="BC91" i="1"/>
  <c r="CP69" i="1"/>
  <c r="CP68" i="1"/>
  <c r="CN69" i="1"/>
  <c r="CN68" i="1"/>
  <c r="BR79" i="1" l="1"/>
  <c r="BR80" i="1"/>
  <c r="BR78" i="1"/>
  <c r="BR77" i="1"/>
  <c r="BR76" i="1"/>
  <c r="BR75" i="1"/>
  <c r="BR74" i="1"/>
  <c r="BR73" i="1"/>
  <c r="BR72" i="1"/>
  <c r="BR71" i="1"/>
  <c r="BR70" i="1"/>
  <c r="BO78" i="1"/>
  <c r="BK78" i="1"/>
  <c r="BG78" i="1"/>
  <c r="BC79" i="1"/>
  <c r="DD15" i="1" l="1"/>
  <c r="DD10" i="1"/>
  <c r="DD5" i="1"/>
  <c r="Q7" i="1" l="1"/>
  <c r="EX49" i="1"/>
  <c r="EX48" i="1"/>
  <c r="EX47" i="1"/>
  <c r="EX46" i="1"/>
  <c r="EX44" i="1"/>
  <c r="EX43" i="1"/>
  <c r="EX41" i="1"/>
  <c r="EX40" i="1"/>
  <c r="EX38" i="1"/>
  <c r="EX37" i="1"/>
  <c r="EX35" i="1"/>
  <c r="EX33" i="1"/>
  <c r="EX32" i="1"/>
  <c r="EX31" i="1"/>
  <c r="EW49" i="1"/>
  <c r="EW48" i="1"/>
  <c r="EW47" i="1"/>
  <c r="EW46" i="1"/>
  <c r="EW45" i="1"/>
  <c r="EW44" i="1"/>
  <c r="EW43" i="1"/>
  <c r="EW41" i="1"/>
  <c r="EW40" i="1"/>
  <c r="EW39" i="1"/>
  <c r="EW38" i="1"/>
  <c r="EW37" i="1"/>
  <c r="EW35" i="1"/>
  <c r="EW34" i="1"/>
  <c r="EW33" i="1"/>
  <c r="EW32" i="1"/>
  <c r="EW31" i="1"/>
  <c r="EW29" i="1"/>
  <c r="EW28" i="1"/>
  <c r="EW27" i="1"/>
  <c r="EW26" i="1"/>
  <c r="EW25" i="1"/>
  <c r="EW24" i="1"/>
  <c r="EW23" i="1"/>
  <c r="EX28" i="1"/>
  <c r="FC42" i="1"/>
  <c r="FA42" i="1"/>
  <c r="EZ42" i="1"/>
  <c r="FC41" i="1"/>
  <c r="EZ41" i="1"/>
  <c r="FC40" i="1"/>
  <c r="FB40" i="1"/>
  <c r="EZ40" i="1"/>
  <c r="FC39" i="1"/>
  <c r="FB39" i="1"/>
  <c r="FA39" i="1"/>
  <c r="EZ39" i="1"/>
  <c r="FC38" i="1"/>
  <c r="FB38" i="1"/>
  <c r="FA38" i="1"/>
  <c r="EZ38" i="1"/>
  <c r="EY38" i="1"/>
  <c r="FC36" i="1"/>
  <c r="FA36" i="1"/>
  <c r="EZ36" i="1"/>
  <c r="FC35" i="1"/>
  <c r="EZ35" i="1"/>
  <c r="FA43" i="1"/>
  <c r="FA37" i="1"/>
  <c r="FA31" i="1"/>
  <c r="FC29" i="1"/>
  <c r="EZ30" i="1"/>
  <c r="EZ29" i="1"/>
  <c r="AE25" i="1" l="1"/>
  <c r="AE24" i="1"/>
  <c r="F25" i="1"/>
  <c r="E40" i="1"/>
  <c r="FA40" i="1" s="1"/>
  <c r="E34" i="1"/>
  <c r="E25" i="1"/>
  <c r="GQ23" i="1" l="1"/>
  <c r="GP23" i="1"/>
  <c r="GO23" i="1"/>
  <c r="GL23" i="1"/>
  <c r="GM23" i="1"/>
  <c r="GN23" i="1"/>
  <c r="GK23" i="1"/>
  <c r="GJ23" i="1"/>
  <c r="GI23" i="1"/>
  <c r="GH23" i="1"/>
  <c r="GG23" i="1"/>
  <c r="GF23" i="1"/>
  <c r="GE23" i="1"/>
  <c r="EE25" i="1"/>
  <c r="GP7" i="1"/>
  <c r="AB60" i="1"/>
  <c r="AB59" i="1"/>
  <c r="H42" i="1" l="1"/>
  <c r="H30" i="1"/>
  <c r="L7" i="1"/>
  <c r="B42" i="1"/>
  <c r="EX42" i="1" s="1"/>
  <c r="B39" i="1"/>
  <c r="EX39" i="1" s="1"/>
  <c r="B34" i="1"/>
  <c r="EX34" i="1" s="1"/>
  <c r="F41" i="1"/>
  <c r="FB41" i="1" s="1"/>
  <c r="E41" i="1"/>
  <c r="FA41" i="1" s="1"/>
  <c r="EH20" i="1"/>
  <c r="EH19" i="1"/>
  <c r="EH18" i="1"/>
  <c r="EH17" i="1"/>
  <c r="EH16" i="1"/>
  <c r="EH15" i="1"/>
  <c r="EH14" i="1"/>
  <c r="EH13" i="1"/>
  <c r="EH8" i="1"/>
  <c r="EH9" i="1"/>
  <c r="EH10" i="1"/>
  <c r="EH11" i="1"/>
  <c r="H33" i="1" l="1"/>
  <c r="H41" i="1"/>
  <c r="H24" i="1"/>
  <c r="H32" i="1"/>
  <c r="H27" i="1"/>
  <c r="H36" i="1"/>
  <c r="H46" i="1"/>
  <c r="H28" i="1"/>
  <c r="H38" i="1"/>
  <c r="H47" i="1"/>
  <c r="H29" i="1"/>
  <c r="H44" i="1"/>
  <c r="H25" i="1"/>
  <c r="H39" i="1"/>
  <c r="H35" i="1"/>
  <c r="H45" i="1"/>
  <c r="H49" i="1"/>
  <c r="V11" i="1" l="1"/>
  <c r="V15" i="1"/>
  <c r="V10" i="1"/>
  <c r="V16" i="1"/>
  <c r="V13" i="1"/>
  <c r="V12" i="1"/>
  <c r="V8" i="1"/>
  <c r="V9" i="1"/>
  <c r="U8" i="1"/>
  <c r="U20" i="1"/>
  <c r="U16" i="1"/>
  <c r="U12" i="1"/>
  <c r="U18" i="1"/>
  <c r="U17" i="1"/>
  <c r="U19" i="1"/>
  <c r="U15" i="1"/>
  <c r="U10" i="1"/>
  <c r="U14" i="1"/>
  <c r="U9" i="1"/>
  <c r="U13" i="1"/>
  <c r="T15" i="1"/>
  <c r="T10" i="1"/>
  <c r="T17" i="1"/>
  <c r="T16" i="1"/>
  <c r="T13" i="1"/>
  <c r="T12" i="1"/>
  <c r="T19" i="1"/>
  <c r="T11" i="1"/>
  <c r="T20" i="1"/>
  <c r="T14" i="1"/>
  <c r="T8" i="1"/>
  <c r="T18" i="1"/>
  <c r="T9" i="1"/>
  <c r="EH12" i="1"/>
  <c r="EH21" i="1" l="1"/>
  <c r="F5" i="1"/>
  <c r="F4" i="1"/>
  <c r="CM106" i="1"/>
  <c r="CL106" i="1"/>
  <c r="CJ106" i="1"/>
  <c r="CI106" i="1"/>
  <c r="F27" i="1" l="1"/>
  <c r="EH23" i="1"/>
  <c r="I27" i="1" s="1"/>
  <c r="AW1" i="1"/>
  <c r="W16" i="1" l="1"/>
  <c r="W19" i="1"/>
  <c r="W11" i="1"/>
  <c r="W18" i="1"/>
  <c r="W10" i="1"/>
  <c r="W8" i="1"/>
  <c r="W12" i="1"/>
  <c r="W15" i="1"/>
  <c r="W13" i="1"/>
  <c r="W20" i="1"/>
  <c r="W17" i="1"/>
  <c r="W9" i="1"/>
  <c r="W14" i="1"/>
  <c r="AR16" i="1"/>
  <c r="D5" i="1"/>
  <c r="GD1" i="1" l="1"/>
  <c r="FO15" i="1" l="1"/>
  <c r="FN15" i="1"/>
  <c r="FJ15" i="1"/>
  <c r="FI15" i="1"/>
  <c r="FP14" i="1"/>
  <c r="FO14" i="1"/>
  <c r="FN14" i="1"/>
  <c r="FJ14" i="1"/>
  <c r="FI14" i="1"/>
  <c r="FP13" i="1"/>
  <c r="FO13" i="1"/>
  <c r="FN13" i="1"/>
  <c r="FJ13" i="1"/>
  <c r="FI13" i="1"/>
  <c r="FP12" i="1"/>
  <c r="FO12" i="1"/>
  <c r="FN12" i="1"/>
  <c r="FJ12" i="1"/>
  <c r="FI12" i="1"/>
  <c r="FP11" i="1"/>
  <c r="FO11" i="1"/>
  <c r="FN11" i="1"/>
  <c r="FJ11" i="1"/>
  <c r="FI11" i="1"/>
  <c r="FP10" i="1"/>
  <c r="FO10" i="1"/>
  <c r="FN10" i="1"/>
  <c r="FJ10" i="1"/>
  <c r="FI10" i="1"/>
  <c r="FP9" i="1"/>
  <c r="FO9" i="1"/>
  <c r="FN9" i="1"/>
  <c r="FJ9" i="1"/>
  <c r="FI9" i="1"/>
  <c r="FP8" i="1"/>
  <c r="FO8" i="1"/>
  <c r="FN8" i="1"/>
  <c r="FJ8" i="1"/>
  <c r="FI8" i="1"/>
  <c r="FP20" i="1"/>
  <c r="FO20" i="1"/>
  <c r="FN20" i="1"/>
  <c r="FJ20" i="1"/>
  <c r="FI20" i="1"/>
  <c r="FP19" i="1"/>
  <c r="FO19" i="1"/>
  <c r="FN19" i="1"/>
  <c r="FJ19" i="1"/>
  <c r="FI19" i="1"/>
  <c r="FP18" i="1"/>
  <c r="FO18" i="1"/>
  <c r="FN18" i="1"/>
  <c r="FJ18" i="1"/>
  <c r="FI18" i="1"/>
  <c r="FP17" i="1"/>
  <c r="FO17" i="1"/>
  <c r="FN17" i="1"/>
  <c r="FJ17" i="1"/>
  <c r="FI17" i="1"/>
  <c r="FP16" i="1"/>
  <c r="FO16" i="1"/>
  <c r="FN16" i="1"/>
  <c r="FJ16" i="1"/>
  <c r="FI16" i="1"/>
  <c r="FP15" i="1"/>
  <c r="FK20" i="1" l="1"/>
  <c r="FK19" i="1"/>
  <c r="FK18" i="1"/>
  <c r="FK17" i="1"/>
  <c r="FK16" i="1"/>
  <c r="FK15" i="1"/>
  <c r="FK14" i="1"/>
  <c r="FK13" i="1"/>
  <c r="FK12" i="1"/>
  <c r="FK11" i="1"/>
  <c r="FK10" i="1"/>
  <c r="FK9" i="1"/>
  <c r="FK8" i="1"/>
  <c r="CP74" i="1"/>
  <c r="CP73" i="1"/>
  <c r="CP72" i="1"/>
  <c r="CP71" i="1"/>
  <c r="CP70" i="1"/>
  <c r="CP67" i="1"/>
  <c r="CP66" i="1"/>
  <c r="CP65" i="1"/>
  <c r="CP64" i="1"/>
  <c r="CP63" i="1"/>
  <c r="CP62" i="1"/>
  <c r="CP61" i="1"/>
  <c r="CP60" i="1"/>
  <c r="CP59" i="1"/>
  <c r="CP58" i="1"/>
  <c r="CP57" i="1"/>
  <c r="CP56" i="1"/>
  <c r="CP55" i="1"/>
  <c r="CP54" i="1"/>
  <c r="CP53" i="1"/>
  <c r="CP52" i="1"/>
  <c r="CP51" i="1"/>
  <c r="CP50" i="1"/>
  <c r="CP49" i="1"/>
  <c r="CP48" i="1"/>
  <c r="CP47" i="1"/>
  <c r="CP46" i="1"/>
  <c r="CP45" i="1"/>
  <c r="CP44" i="1"/>
  <c r="CP43" i="1"/>
  <c r="CP42" i="1"/>
  <c r="CP41" i="1"/>
  <c r="CP40" i="1"/>
  <c r="CP39" i="1"/>
  <c r="CP38" i="1"/>
  <c r="CP37" i="1"/>
  <c r="CP36" i="1"/>
  <c r="CP35" i="1"/>
  <c r="CP34" i="1"/>
  <c r="CP33" i="1"/>
  <c r="CP32" i="1"/>
  <c r="CP31" i="1"/>
  <c r="CP30" i="1"/>
  <c r="CP29" i="1"/>
  <c r="CP28" i="1"/>
  <c r="CP27" i="1"/>
  <c r="CP26" i="1"/>
  <c r="CP25" i="1"/>
  <c r="CP24" i="1"/>
  <c r="CP23" i="1"/>
  <c r="CP22" i="1"/>
  <c r="CP21" i="1"/>
  <c r="CP20" i="1"/>
  <c r="CP19" i="1"/>
  <c r="CP18" i="1"/>
  <c r="CP17" i="1"/>
  <c r="CP16" i="1"/>
  <c r="CP15" i="1"/>
  <c r="CP14" i="1"/>
  <c r="CP13" i="1"/>
  <c r="CP12" i="1"/>
  <c r="CP11" i="1"/>
  <c r="CP10" i="1"/>
  <c r="CP9" i="1"/>
  <c r="CP8" i="1"/>
  <c r="CP7" i="1"/>
  <c r="CP6" i="1"/>
  <c r="CP5" i="1"/>
  <c r="CP4" i="1"/>
  <c r="CP3" i="1"/>
  <c r="CN62" i="1"/>
  <c r="CY23" i="1"/>
  <c r="W5" i="1" l="1"/>
  <c r="U11" i="1"/>
  <c r="DD22" i="1"/>
  <c r="DD21" i="1"/>
  <c r="F19" i="1" s="1"/>
  <c r="DD20" i="1"/>
  <c r="DD19" i="1"/>
  <c r="DD18" i="1"/>
  <c r="DD17" i="1"/>
  <c r="F11" i="1" s="1"/>
  <c r="DD16" i="1"/>
  <c r="DD14" i="1"/>
  <c r="DD13" i="1"/>
  <c r="DD12" i="1"/>
  <c r="F9" i="1" s="1"/>
  <c r="DD11" i="1"/>
  <c r="DD9" i="1"/>
  <c r="DD8" i="1"/>
  <c r="F13" i="1" s="1"/>
  <c r="DD7" i="1"/>
  <c r="F8" i="1" s="1"/>
  <c r="DD6" i="1"/>
  <c r="DD4" i="1"/>
  <c r="DD3" i="1"/>
  <c r="DI36" i="1"/>
  <c r="DI35" i="1"/>
  <c r="DI34" i="1"/>
  <c r="DI33" i="1"/>
  <c r="DI30" i="1"/>
  <c r="DI29" i="1"/>
  <c r="DI28" i="1"/>
  <c r="DI27" i="1"/>
  <c r="DI26" i="1"/>
  <c r="DI23" i="1"/>
  <c r="DI22" i="1"/>
  <c r="DI21" i="1"/>
  <c r="DI20" i="1"/>
  <c r="DI19" i="1"/>
  <c r="DI18" i="1"/>
  <c r="DI17" i="1"/>
  <c r="DI16" i="1"/>
  <c r="DI13" i="1"/>
  <c r="DI12" i="1"/>
  <c r="DI11" i="1"/>
  <c r="DI10" i="1"/>
  <c r="DI9" i="1"/>
  <c r="DI8" i="1"/>
  <c r="DI7" i="1"/>
  <c r="DI6" i="1"/>
  <c r="DI5" i="1"/>
  <c r="DI4" i="1"/>
  <c r="DI3" i="1"/>
  <c r="CC91" i="1"/>
  <c r="CC90" i="1"/>
  <c r="CC89" i="1"/>
  <c r="CC88" i="1"/>
  <c r="CC87" i="1"/>
  <c r="CC86" i="1"/>
  <c r="CC85" i="1"/>
  <c r="CC84" i="1"/>
  <c r="CC83" i="1"/>
  <c r="CC82" i="1"/>
  <c r="AQ14" i="1"/>
  <c r="AP14" i="1"/>
  <c r="AO14" i="1"/>
  <c r="AN14" i="1"/>
  <c r="AQ13" i="1"/>
  <c r="AP13" i="1"/>
  <c r="AO13" i="1"/>
  <c r="AN13" i="1"/>
  <c r="AQ12" i="1"/>
  <c r="AP12" i="1"/>
  <c r="AO12" i="1"/>
  <c r="AN12" i="1"/>
  <c r="AQ11" i="1"/>
  <c r="AP11" i="1"/>
  <c r="AO11" i="1"/>
  <c r="AN11" i="1"/>
  <c r="AQ10" i="1"/>
  <c r="AP10" i="1"/>
  <c r="AO10" i="1"/>
  <c r="AN10" i="1"/>
  <c r="AQ9" i="1"/>
  <c r="AP9" i="1"/>
  <c r="AO9" i="1"/>
  <c r="AN9" i="1"/>
  <c r="AQ8" i="1"/>
  <c r="AP8" i="1"/>
  <c r="AO8" i="1"/>
  <c r="AN8" i="1"/>
  <c r="AQ7" i="1"/>
  <c r="AP7" i="1"/>
  <c r="AO7" i="1"/>
  <c r="AN7" i="1"/>
  <c r="AQ6" i="1"/>
  <c r="AP6" i="1"/>
  <c r="AO6" i="1"/>
  <c r="AN6" i="1"/>
  <c r="AQ5" i="1"/>
  <c r="AP5" i="1"/>
  <c r="AO5" i="1"/>
  <c r="AN5" i="1"/>
  <c r="AQ4" i="1"/>
  <c r="AP4" i="1"/>
  <c r="AO4" i="1"/>
  <c r="AN4" i="1"/>
  <c r="AQ3" i="1"/>
  <c r="AP3" i="1"/>
  <c r="AO3" i="1"/>
  <c r="AN3" i="1"/>
  <c r="EZ21" i="1"/>
  <c r="F15" i="1" l="1"/>
  <c r="F16" i="1"/>
  <c r="F17" i="1"/>
  <c r="F18" i="1"/>
  <c r="F14" i="1"/>
  <c r="F10" i="1"/>
  <c r="F12" i="1"/>
  <c r="F20" i="1"/>
  <c r="GQ18" i="1"/>
  <c r="GP18" i="1"/>
  <c r="GO18" i="1"/>
  <c r="GN18" i="1"/>
  <c r="GM18" i="1"/>
  <c r="GL18" i="1"/>
  <c r="GK18" i="1"/>
  <c r="GJ18" i="1"/>
  <c r="GI18" i="1"/>
  <c r="GH18" i="1"/>
  <c r="GG18" i="1"/>
  <c r="GE18" i="1"/>
  <c r="GF18" i="1"/>
  <c r="AM29" i="1"/>
  <c r="AM30" i="1" l="1"/>
  <c r="GE2" i="1" l="1"/>
  <c r="D2" i="1"/>
  <c r="FF16" i="1"/>
  <c r="FF14" i="1"/>
  <c r="FF18" i="1"/>
  <c r="FF20" i="1"/>
  <c r="FF15" i="1"/>
  <c r="FF19" i="1"/>
  <c r="FF17" i="1"/>
  <c r="FF13" i="1"/>
  <c r="FF9" i="1"/>
  <c r="FF10" i="1"/>
  <c r="FF11" i="1"/>
  <c r="FF12" i="1"/>
  <c r="FF8" i="1"/>
  <c r="X5" i="1"/>
  <c r="CA80" i="1" l="1"/>
  <c r="BW80" i="1"/>
  <c r="BZ80" i="1"/>
  <c r="BY80" i="1"/>
  <c r="BX80" i="1"/>
  <c r="CA81" i="1"/>
  <c r="BW81" i="1"/>
  <c r="BX79" i="1"/>
  <c r="BY78" i="1"/>
  <c r="BZ77" i="1"/>
  <c r="CA76" i="1"/>
  <c r="BW76" i="1"/>
  <c r="BY73" i="1"/>
  <c r="BZ72" i="1"/>
  <c r="CA71" i="1"/>
  <c r="BW71" i="1"/>
  <c r="BX70" i="1"/>
  <c r="BY67" i="1"/>
  <c r="BZ66" i="1"/>
  <c r="CA65" i="1"/>
  <c r="BW65" i="1"/>
  <c r="BX64" i="1"/>
  <c r="BY63" i="1"/>
  <c r="BZ62" i="1"/>
  <c r="CA61" i="1"/>
  <c r="BW61" i="1"/>
  <c r="BX60" i="1"/>
  <c r="BY59" i="1"/>
  <c r="BZ58" i="1"/>
  <c r="CA57" i="1"/>
  <c r="BW57" i="1"/>
  <c r="BX56" i="1"/>
  <c r="BY55" i="1"/>
  <c r="BZ54" i="1"/>
  <c r="CA53" i="1"/>
  <c r="BW53" i="1"/>
  <c r="BX52" i="1"/>
  <c r="BY51" i="1"/>
  <c r="BZ50" i="1"/>
  <c r="CA49" i="1"/>
  <c r="BW49" i="1"/>
  <c r="D18" i="1" s="1"/>
  <c r="BX48" i="1"/>
  <c r="BY47" i="1"/>
  <c r="BZ46" i="1"/>
  <c r="CA45" i="1"/>
  <c r="BW45" i="1"/>
  <c r="BX44" i="1"/>
  <c r="BY43" i="1"/>
  <c r="BZ42" i="1"/>
  <c r="CA41" i="1"/>
  <c r="BW41" i="1"/>
  <c r="BX40" i="1"/>
  <c r="BY39" i="1"/>
  <c r="BZ35" i="1"/>
  <c r="CA34" i="1"/>
  <c r="BW34" i="1"/>
  <c r="BX33" i="1"/>
  <c r="BY32" i="1"/>
  <c r="BZ31" i="1"/>
  <c r="CA30" i="1"/>
  <c r="BW30" i="1"/>
  <c r="BX29" i="1"/>
  <c r="BY28" i="1"/>
  <c r="BZ27" i="1"/>
  <c r="CA26" i="1"/>
  <c r="BW26" i="1"/>
  <c r="CA20" i="1"/>
  <c r="CA16" i="1"/>
  <c r="CA12" i="1"/>
  <c r="CA8" i="1"/>
  <c r="CA4" i="1"/>
  <c r="BZ21" i="1"/>
  <c r="BZ17" i="1"/>
  <c r="BZ13" i="1"/>
  <c r="BZ9" i="1"/>
  <c r="BZ5" i="1"/>
  <c r="BY22" i="1"/>
  <c r="BY18" i="1"/>
  <c r="BY14" i="1"/>
  <c r="BY10" i="1"/>
  <c r="BY6" i="1"/>
  <c r="BX23" i="1"/>
  <c r="BX19" i="1"/>
  <c r="BX15" i="1"/>
  <c r="BX11" i="1"/>
  <c r="BX7" i="1"/>
  <c r="BX3" i="1"/>
  <c r="BW20" i="1"/>
  <c r="BW16" i="1"/>
  <c r="BZ81" i="1"/>
  <c r="CA79" i="1"/>
  <c r="BW79" i="1"/>
  <c r="D14" i="1" s="1"/>
  <c r="BX78" i="1"/>
  <c r="BY77" i="1"/>
  <c r="BZ76" i="1"/>
  <c r="CA74" i="1"/>
  <c r="BW74" i="1"/>
  <c r="BX73" i="1"/>
  <c r="BY72" i="1"/>
  <c r="BZ71" i="1"/>
  <c r="CA70" i="1"/>
  <c r="BW70" i="1"/>
  <c r="BX67" i="1"/>
  <c r="BY66" i="1"/>
  <c r="BZ65" i="1"/>
  <c r="CA64" i="1"/>
  <c r="BW64" i="1"/>
  <c r="BX63" i="1"/>
  <c r="BY62" i="1"/>
  <c r="BZ61" i="1"/>
  <c r="CA60" i="1"/>
  <c r="BW60" i="1"/>
  <c r="BX59" i="1"/>
  <c r="BY58" i="1"/>
  <c r="BZ57" i="1"/>
  <c r="CA56" i="1"/>
  <c r="BW56" i="1"/>
  <c r="BX55" i="1"/>
  <c r="BY54" i="1"/>
  <c r="BZ53" i="1"/>
  <c r="CA52" i="1"/>
  <c r="BW52" i="1"/>
  <c r="BX51" i="1"/>
  <c r="BY50" i="1"/>
  <c r="BZ49" i="1"/>
  <c r="CA48" i="1"/>
  <c r="BW48" i="1"/>
  <c r="BX47" i="1"/>
  <c r="BY46" i="1"/>
  <c r="BZ45" i="1"/>
  <c r="CA44" i="1"/>
  <c r="BW44" i="1"/>
  <c r="BX43" i="1"/>
  <c r="BY42" i="1"/>
  <c r="BZ41" i="1"/>
  <c r="CA40" i="1"/>
  <c r="BW40" i="1"/>
  <c r="BX39" i="1"/>
  <c r="BY35" i="1"/>
  <c r="BZ34" i="1"/>
  <c r="CA33" i="1"/>
  <c r="BW33" i="1"/>
  <c r="BX32" i="1"/>
  <c r="BY31" i="1"/>
  <c r="BZ30" i="1"/>
  <c r="CA29" i="1"/>
  <c r="BW29" i="1"/>
  <c r="BX28" i="1"/>
  <c r="BY27" i="1"/>
  <c r="BZ26" i="1"/>
  <c r="CA23" i="1"/>
  <c r="CA19" i="1"/>
  <c r="CA15" i="1"/>
  <c r="CA11" i="1"/>
  <c r="CA7" i="1"/>
  <c r="CA3" i="1"/>
  <c r="BZ20" i="1"/>
  <c r="BZ16" i="1"/>
  <c r="BZ12" i="1"/>
  <c r="BZ8" i="1"/>
  <c r="BZ4" i="1"/>
  <c r="BY21" i="1"/>
  <c r="BY17" i="1"/>
  <c r="BY13" i="1"/>
  <c r="BY9" i="1"/>
  <c r="BY5" i="1"/>
  <c r="BX22" i="1"/>
  <c r="BX18" i="1"/>
  <c r="BX14" i="1"/>
  <c r="BX10" i="1"/>
  <c r="BX6" i="1"/>
  <c r="BW23" i="1"/>
  <c r="BW19" i="1"/>
  <c r="BW15" i="1"/>
  <c r="BY81" i="1"/>
  <c r="BZ79" i="1"/>
  <c r="CA78" i="1"/>
  <c r="BW78" i="1"/>
  <c r="BX77" i="1"/>
  <c r="BY76" i="1"/>
  <c r="BZ74" i="1"/>
  <c r="CA73" i="1"/>
  <c r="BW73" i="1"/>
  <c r="BX72" i="1"/>
  <c r="BY71" i="1"/>
  <c r="BZ70" i="1"/>
  <c r="CA67" i="1"/>
  <c r="BW67" i="1"/>
  <c r="BX66" i="1"/>
  <c r="BY65" i="1"/>
  <c r="BZ64" i="1"/>
  <c r="CA63" i="1"/>
  <c r="BW63" i="1"/>
  <c r="BX62" i="1"/>
  <c r="BY61" i="1"/>
  <c r="BZ60" i="1"/>
  <c r="CA59" i="1"/>
  <c r="BW59" i="1"/>
  <c r="BX58" i="1"/>
  <c r="BY57" i="1"/>
  <c r="BZ56" i="1"/>
  <c r="CA55" i="1"/>
  <c r="BW55" i="1"/>
  <c r="BX54" i="1"/>
  <c r="BY53" i="1"/>
  <c r="BZ52" i="1"/>
  <c r="CA51" i="1"/>
  <c r="BW51" i="1"/>
  <c r="BX50" i="1"/>
  <c r="BY49" i="1"/>
  <c r="BZ48" i="1"/>
  <c r="CA47" i="1"/>
  <c r="BW47" i="1"/>
  <c r="D16" i="1" s="1"/>
  <c r="BX46" i="1"/>
  <c r="BY45" i="1"/>
  <c r="BZ44" i="1"/>
  <c r="CA43" i="1"/>
  <c r="BW43" i="1"/>
  <c r="BX42" i="1"/>
  <c r="BY41" i="1"/>
  <c r="BZ40" i="1"/>
  <c r="CA39" i="1"/>
  <c r="BW39" i="1"/>
  <c r="BX35" i="1"/>
  <c r="BY34" i="1"/>
  <c r="BZ33" i="1"/>
  <c r="CA32" i="1"/>
  <c r="BW32" i="1"/>
  <c r="BX31" i="1"/>
  <c r="BY30" i="1"/>
  <c r="BZ29" i="1"/>
  <c r="CA28" i="1"/>
  <c r="BW28" i="1"/>
  <c r="BX27" i="1"/>
  <c r="BY26" i="1"/>
  <c r="CA22" i="1"/>
  <c r="CA18" i="1"/>
  <c r="CA14" i="1"/>
  <c r="CA10" i="1"/>
  <c r="CA6" i="1"/>
  <c r="BZ23" i="1"/>
  <c r="BZ19" i="1"/>
  <c r="BZ15" i="1"/>
  <c r="BZ11" i="1"/>
  <c r="BZ7" i="1"/>
  <c r="BZ3" i="1"/>
  <c r="BY20" i="1"/>
  <c r="BY16" i="1"/>
  <c r="BY12" i="1"/>
  <c r="BY8" i="1"/>
  <c r="BY4" i="1"/>
  <c r="BX21" i="1"/>
  <c r="BX17" i="1"/>
  <c r="BX13" i="1"/>
  <c r="BX9" i="1"/>
  <c r="BX5" i="1"/>
  <c r="BW22" i="1"/>
  <c r="BW18" i="1"/>
  <c r="BW14" i="1"/>
  <c r="BX81" i="1"/>
  <c r="BW77" i="1"/>
  <c r="CA72" i="1"/>
  <c r="BZ67" i="1"/>
  <c r="BY64" i="1"/>
  <c r="BX61" i="1"/>
  <c r="BW58" i="1"/>
  <c r="CA54" i="1"/>
  <c r="BZ51" i="1"/>
  <c r="BY48" i="1"/>
  <c r="BX45" i="1"/>
  <c r="BW42" i="1"/>
  <c r="CA35" i="1"/>
  <c r="BZ32" i="1"/>
  <c r="BY29" i="1"/>
  <c r="BX26" i="1"/>
  <c r="CA9" i="1"/>
  <c r="BZ14" i="1"/>
  <c r="BY19" i="1"/>
  <c r="BY3" i="1"/>
  <c r="BX8" i="1"/>
  <c r="BW13" i="1"/>
  <c r="BW9" i="1"/>
  <c r="BW5" i="1"/>
  <c r="BW4" i="1"/>
  <c r="BY70" i="1"/>
  <c r="CA58" i="1"/>
  <c r="BX49" i="1"/>
  <c r="BW46" i="1"/>
  <c r="BX30" i="1"/>
  <c r="BZ18" i="1"/>
  <c r="BX12" i="1"/>
  <c r="BW6" i="1"/>
  <c r="BY79" i="1"/>
  <c r="BX76" i="1"/>
  <c r="BW72" i="1"/>
  <c r="CA66" i="1"/>
  <c r="BZ63" i="1"/>
  <c r="BY60" i="1"/>
  <c r="BX57" i="1"/>
  <c r="BW54" i="1"/>
  <c r="CA50" i="1"/>
  <c r="BZ47" i="1"/>
  <c r="BY44" i="1"/>
  <c r="BX41" i="1"/>
  <c r="BW35" i="1"/>
  <c r="CA31" i="1"/>
  <c r="BZ28" i="1"/>
  <c r="CA21" i="1"/>
  <c r="CA5" i="1"/>
  <c r="BZ10" i="1"/>
  <c r="BY15" i="1"/>
  <c r="BX20" i="1"/>
  <c r="BX4" i="1"/>
  <c r="BW12" i="1"/>
  <c r="BW8" i="1"/>
  <c r="CA77" i="1"/>
  <c r="BX65" i="1"/>
  <c r="BZ55" i="1"/>
  <c r="BZ39" i="1"/>
  <c r="BW27" i="1"/>
  <c r="BY23" i="1"/>
  <c r="BW17" i="1"/>
  <c r="BZ78" i="1"/>
  <c r="BY74" i="1"/>
  <c r="BX71" i="1"/>
  <c r="BW66" i="1"/>
  <c r="CA62" i="1"/>
  <c r="BZ59" i="1"/>
  <c r="BY56" i="1"/>
  <c r="BX53" i="1"/>
  <c r="BW50" i="1"/>
  <c r="CA46" i="1"/>
  <c r="BZ43" i="1"/>
  <c r="BY40" i="1"/>
  <c r="BX34" i="1"/>
  <c r="BW31" i="1"/>
  <c r="CA27" i="1"/>
  <c r="CA17" i="1"/>
  <c r="BZ22" i="1"/>
  <c r="BZ6" i="1"/>
  <c r="BY11" i="1"/>
  <c r="BX16" i="1"/>
  <c r="BW21" i="1"/>
  <c r="BW11" i="1"/>
  <c r="BW7" i="1"/>
  <c r="BW3" i="1"/>
  <c r="BZ73" i="1"/>
  <c r="BW62" i="1"/>
  <c r="BY52" i="1"/>
  <c r="CA42" i="1"/>
  <c r="BY33" i="1"/>
  <c r="CA13" i="1"/>
  <c r="BY7" i="1"/>
  <c r="BW10" i="1"/>
  <c r="Y20" i="1"/>
  <c r="X20" i="1" s="1"/>
  <c r="Y19" i="1"/>
  <c r="X19" i="1" s="1"/>
  <c r="Y18" i="1"/>
  <c r="X18" i="1" s="1"/>
  <c r="Y17" i="1"/>
  <c r="X17" i="1" s="1"/>
  <c r="Y16" i="1"/>
  <c r="X16" i="1" s="1"/>
  <c r="Y15" i="1"/>
  <c r="X15" i="1" s="1"/>
  <c r="Y14" i="1"/>
  <c r="X14" i="1" s="1"/>
  <c r="Y13" i="1"/>
  <c r="X13" i="1" s="1"/>
  <c r="Y12" i="1"/>
  <c r="X12" i="1" s="1"/>
  <c r="Y11" i="1"/>
  <c r="X11" i="1" s="1"/>
  <c r="Y10" i="1"/>
  <c r="X10" i="1" s="1"/>
  <c r="Y9" i="1"/>
  <c r="X9" i="1" s="1"/>
  <c r="Y8" i="1"/>
  <c r="X8" i="1" s="1"/>
  <c r="CF81" i="1"/>
  <c r="CF79" i="1"/>
  <c r="CF78" i="1"/>
  <c r="CF77" i="1"/>
  <c r="CF76" i="1"/>
  <c r="CF74" i="1"/>
  <c r="CF73" i="1"/>
  <c r="CF72" i="1"/>
  <c r="CF71" i="1"/>
  <c r="CF70" i="1"/>
  <c r="CF67" i="1"/>
  <c r="CF66" i="1"/>
  <c r="CF65" i="1"/>
  <c r="CF64" i="1"/>
  <c r="CF63" i="1"/>
  <c r="CF62" i="1"/>
  <c r="CF61" i="1"/>
  <c r="CF60" i="1"/>
  <c r="CF59" i="1"/>
  <c r="CF58" i="1"/>
  <c r="CF57" i="1"/>
  <c r="CF56" i="1"/>
  <c r="CF55" i="1"/>
  <c r="CF54" i="1"/>
  <c r="CF53" i="1"/>
  <c r="CF52" i="1"/>
  <c r="CF51" i="1"/>
  <c r="CF50" i="1"/>
  <c r="CF49" i="1"/>
  <c r="CF48" i="1"/>
  <c r="CF47" i="1"/>
  <c r="CF46" i="1"/>
  <c r="CF45" i="1"/>
  <c r="CF44" i="1"/>
  <c r="CF43" i="1"/>
  <c r="CF42" i="1"/>
  <c r="CF41" i="1"/>
  <c r="CF40" i="1"/>
  <c r="CF39" i="1"/>
  <c r="CF35" i="1"/>
  <c r="CF34" i="1"/>
  <c r="CF33" i="1"/>
  <c r="CF32" i="1"/>
  <c r="CF31" i="1"/>
  <c r="CF30" i="1"/>
  <c r="CF29" i="1"/>
  <c r="CF28" i="1"/>
  <c r="CF27" i="1"/>
  <c r="CF26" i="1"/>
  <c r="CF23" i="1"/>
  <c r="CF22" i="1"/>
  <c r="CF21" i="1"/>
  <c r="CF20" i="1"/>
  <c r="CF19" i="1"/>
  <c r="CF18" i="1"/>
  <c r="CF17" i="1"/>
  <c r="CF16" i="1"/>
  <c r="CF15" i="1"/>
  <c r="CF14" i="1"/>
  <c r="CF13" i="1"/>
  <c r="CF12" i="1"/>
  <c r="CF11" i="1"/>
  <c r="CF10" i="1"/>
  <c r="CF9" i="1"/>
  <c r="CF8" i="1"/>
  <c r="CF7" i="1"/>
  <c r="CF6" i="1"/>
  <c r="CF5" i="1"/>
  <c r="CF4" i="1"/>
  <c r="CF3" i="1"/>
  <c r="D12" i="1" l="1"/>
  <c r="D20" i="1"/>
  <c r="D15" i="1"/>
  <c r="D17" i="1"/>
  <c r="D19" i="1"/>
  <c r="D10" i="1"/>
  <c r="EM8" i="1"/>
  <c r="EM9" i="1"/>
  <c r="D13" i="1"/>
  <c r="D8" i="1"/>
  <c r="D9" i="1"/>
  <c r="D11" i="1"/>
  <c r="X24" i="1"/>
  <c r="EM22" i="1" l="1"/>
  <c r="EP26" i="1" s="1"/>
  <c r="B23" i="1" s="1"/>
  <c r="DM3" i="1"/>
  <c r="EP27" i="1" l="1"/>
  <c r="E24" i="1" s="1"/>
  <c r="EP22" i="1"/>
  <c r="B25" i="1"/>
  <c r="EY20" i="1"/>
  <c r="EY19" i="1"/>
  <c r="EY18" i="1"/>
  <c r="EY17" i="1"/>
  <c r="EY16" i="1"/>
  <c r="EY15" i="1"/>
  <c r="EY14" i="1"/>
  <c r="EY13" i="1"/>
  <c r="EY12" i="1"/>
  <c r="EY11" i="1"/>
  <c r="EY10" i="1"/>
  <c r="EY9" i="1"/>
  <c r="EY8" i="1"/>
  <c r="BO55" i="1"/>
  <c r="BK55" i="1"/>
  <c r="BG55" i="1"/>
  <c r="BC55" i="1"/>
  <c r="CN74" i="1"/>
  <c r="CN73" i="1"/>
  <c r="CN72" i="1"/>
  <c r="CN71" i="1"/>
  <c r="CN70" i="1"/>
  <c r="CN67" i="1"/>
  <c r="CN66" i="1"/>
  <c r="CN65" i="1"/>
  <c r="CN64" i="1"/>
  <c r="CN63" i="1"/>
  <c r="CN61" i="1"/>
  <c r="CN60" i="1"/>
  <c r="CN59" i="1"/>
  <c r="CN58" i="1"/>
  <c r="CN57" i="1"/>
  <c r="CN56" i="1"/>
  <c r="CN55" i="1"/>
  <c r="CN54" i="1"/>
  <c r="CN53" i="1"/>
  <c r="CN52" i="1"/>
  <c r="CN51" i="1"/>
  <c r="CN50" i="1"/>
  <c r="CN49" i="1"/>
  <c r="CN48" i="1"/>
  <c r="CN47" i="1"/>
  <c r="CN46" i="1"/>
  <c r="CN45" i="1"/>
  <c r="CN44" i="1"/>
  <c r="CN43" i="1"/>
  <c r="CN42" i="1"/>
  <c r="CN41" i="1"/>
  <c r="CN40" i="1"/>
  <c r="CN39" i="1"/>
  <c r="CN38" i="1"/>
  <c r="CN37" i="1"/>
  <c r="CN36" i="1"/>
  <c r="CN35" i="1"/>
  <c r="CN34" i="1"/>
  <c r="CN33" i="1"/>
  <c r="CN32" i="1"/>
  <c r="CN31" i="1"/>
  <c r="CN30" i="1"/>
  <c r="CN29" i="1"/>
  <c r="CN28" i="1"/>
  <c r="CN27" i="1"/>
  <c r="CN26" i="1"/>
  <c r="CN25" i="1"/>
  <c r="CN24" i="1"/>
  <c r="CN23" i="1"/>
  <c r="CN22" i="1"/>
  <c r="CN21" i="1"/>
  <c r="CN20" i="1"/>
  <c r="CN19" i="1"/>
  <c r="CN18" i="1"/>
  <c r="CN17" i="1"/>
  <c r="CN16" i="1"/>
  <c r="CN15" i="1"/>
  <c r="CN14" i="1"/>
  <c r="CN13" i="1"/>
  <c r="CN12" i="1"/>
  <c r="CN11" i="1"/>
  <c r="CN10" i="1"/>
  <c r="CN9" i="1"/>
  <c r="CN8" i="1"/>
  <c r="CN7" i="1"/>
  <c r="D4" i="1"/>
  <c r="I22" i="1"/>
  <c r="E35" i="1" l="1"/>
  <c r="FA35" i="1" s="1"/>
  <c r="E29" i="1"/>
  <c r="FA29" i="1" s="1"/>
  <c r="FN22" i="1" l="1"/>
  <c r="FN24" i="1"/>
  <c r="FN23" i="1"/>
  <c r="EE26" i="1"/>
  <c r="EE24" i="1"/>
  <c r="EE23" i="1"/>
  <c r="AB77" i="1"/>
  <c r="E49" i="1"/>
  <c r="B29" i="1"/>
  <c r="AN19" i="1"/>
  <c r="GQ4" i="1"/>
  <c r="GP4" i="1"/>
  <c r="GO4" i="1"/>
  <c r="GN4" i="1"/>
  <c r="GM4" i="1"/>
  <c r="GL4" i="1"/>
  <c r="GK4" i="1"/>
  <c r="GJ4" i="1"/>
  <c r="GI4" i="1"/>
  <c r="GH4" i="1"/>
  <c r="GG4" i="1"/>
  <c r="GF4" i="1"/>
  <c r="I49" i="1"/>
  <c r="I29" i="1"/>
  <c r="I35" i="1"/>
  <c r="I41" i="1"/>
  <c r="I17" i="1" l="1"/>
  <c r="I18" i="1"/>
  <c r="I16" i="1"/>
  <c r="EX29" i="1"/>
  <c r="I14" i="1"/>
  <c r="I15" i="1"/>
  <c r="I13" i="1"/>
  <c r="I20" i="1"/>
  <c r="I19" i="1"/>
  <c r="I12" i="1"/>
  <c r="I9" i="1"/>
  <c r="I11" i="1"/>
  <c r="I10" i="1"/>
  <c r="D6" i="1"/>
  <c r="I8" i="1"/>
  <c r="F42" i="1"/>
  <c r="FB42" i="1" s="1"/>
  <c r="A42" i="1"/>
  <c r="EW42" i="1" s="1"/>
  <c r="A36" i="1"/>
  <c r="EW36" i="1" s="1"/>
  <c r="F36" i="1"/>
  <c r="FB36" i="1" s="1"/>
  <c r="AM25" i="1"/>
  <c r="A30" i="1"/>
  <c r="EW30" i="1" s="1"/>
  <c r="F30" i="1"/>
  <c r="GP10" i="1"/>
  <c r="GO10" i="1"/>
  <c r="GN10" i="1"/>
  <c r="GM10" i="1"/>
  <c r="GL10" i="1"/>
  <c r="GK10" i="1"/>
  <c r="GJ10" i="1"/>
  <c r="GI10" i="1"/>
  <c r="GG10" i="1"/>
  <c r="GH10" i="1"/>
  <c r="GQ10" i="1"/>
  <c r="GP31" i="1"/>
  <c r="GO31" i="1"/>
  <c r="GN31" i="1"/>
  <c r="GE31" i="1"/>
  <c r="AD13" i="1"/>
  <c r="AD12" i="1"/>
  <c r="AD11" i="1"/>
  <c r="AD10" i="1"/>
  <c r="I36" i="1"/>
  <c r="I30" i="1"/>
  <c r="I42" i="1"/>
  <c r="GH31" i="1" l="1"/>
  <c r="GL31" i="1"/>
  <c r="GI31" i="1"/>
  <c r="GM31" i="1"/>
  <c r="GJ31" i="1"/>
  <c r="GK31" i="1"/>
  <c r="GG31" i="1"/>
  <c r="GQ31" i="1"/>
  <c r="GF10" i="1"/>
  <c r="GE10" i="1"/>
  <c r="GF31" i="1"/>
  <c r="F49" i="1"/>
  <c r="B30" i="1"/>
  <c r="EX30" i="1" s="1"/>
  <c r="H22" i="1" l="1"/>
  <c r="E22" i="1"/>
  <c r="B26" i="1" s="1"/>
  <c r="E23" i="1" l="1"/>
  <c r="B36" i="1"/>
  <c r="EX36" i="1" s="1"/>
  <c r="FC30" i="1"/>
  <c r="AD3" i="1"/>
  <c r="AD4" i="1"/>
  <c r="AD5" i="1"/>
  <c r="AD6" i="1"/>
  <c r="AD7" i="1"/>
  <c r="I23" i="1"/>
  <c r="GJ15" i="1" l="1"/>
  <c r="GI15" i="1"/>
  <c r="GP15" i="1"/>
  <c r="GF15" i="1"/>
  <c r="GN15" i="1"/>
  <c r="GQ15" i="1"/>
  <c r="GH15" i="1"/>
  <c r="GG15" i="1"/>
  <c r="GK15" i="1"/>
  <c r="GM15" i="1"/>
  <c r="GO15" i="1"/>
  <c r="GL15" i="1"/>
  <c r="GE15" i="1"/>
  <c r="F35" i="1"/>
  <c r="FB35" i="1" s="1"/>
  <c r="F29" i="1"/>
  <c r="FB29" i="1" s="1"/>
  <c r="FD20" i="1"/>
  <c r="FD19" i="1"/>
  <c r="FD18" i="1"/>
  <c r="FD17" i="1"/>
  <c r="FD16" i="1"/>
  <c r="FD15" i="1"/>
  <c r="FD14" i="1"/>
  <c r="FD13" i="1"/>
  <c r="FD12" i="1"/>
  <c r="FD11" i="1"/>
  <c r="FD10" i="1"/>
  <c r="FD9" i="1"/>
  <c r="FD8" i="1"/>
  <c r="CY22" i="1"/>
  <c r="CY21" i="1"/>
  <c r="CY20" i="1"/>
  <c r="CY19" i="1"/>
  <c r="CY18" i="1"/>
  <c r="CY17" i="1"/>
  <c r="CY16" i="1"/>
  <c r="CY15" i="1"/>
  <c r="CY14" i="1"/>
  <c r="CY13" i="1"/>
  <c r="CY12" i="1"/>
  <c r="CY11" i="1"/>
  <c r="CY10" i="1"/>
  <c r="CY9" i="1"/>
  <c r="CY8" i="1"/>
  <c r="CY7" i="1"/>
  <c r="CY6" i="1"/>
  <c r="CY5" i="1"/>
  <c r="CY4" i="1"/>
  <c r="CY3" i="1"/>
  <c r="DF17" i="1" l="1"/>
  <c r="DF9" i="1"/>
  <c r="DF5" i="1"/>
  <c r="DF16" i="1"/>
  <c r="DF12" i="1"/>
  <c r="DF8" i="1"/>
  <c r="DF4" i="1"/>
  <c r="DF15" i="1"/>
  <c r="DF11" i="1"/>
  <c r="DF7" i="1"/>
  <c r="DF14" i="1"/>
  <c r="DF10" i="1"/>
  <c r="DF6" i="1"/>
  <c r="DF13" i="1"/>
  <c r="DF3" i="1"/>
  <c r="FG14" i="1"/>
  <c r="FG18" i="1"/>
  <c r="FG17" i="1"/>
  <c r="FG20" i="1"/>
  <c r="FG19" i="1"/>
  <c r="FG15" i="1"/>
  <c r="FG16" i="1"/>
  <c r="FG9" i="1"/>
  <c r="FG10" i="1"/>
  <c r="FG12" i="1"/>
  <c r="FG8" i="1"/>
  <c r="FG11" i="1"/>
  <c r="FG13" i="1"/>
  <c r="BC97" i="1" l="1"/>
  <c r="BC95" i="1"/>
  <c r="BC94" i="1"/>
  <c r="BC93" i="1"/>
  <c r="BC92" i="1"/>
  <c r="BC90" i="1"/>
  <c r="BC89" i="1"/>
  <c r="BC88" i="1"/>
  <c r="BC86" i="1"/>
  <c r="BC87" i="1"/>
  <c r="FL20" i="1"/>
  <c r="FL19" i="1"/>
  <c r="FL18" i="1"/>
  <c r="FL17" i="1"/>
  <c r="FL16" i="1"/>
  <c r="FL15" i="1"/>
  <c r="FL14" i="1"/>
  <c r="FL13" i="1"/>
  <c r="FL12" i="1"/>
  <c r="FL11" i="1"/>
  <c r="FL10" i="1"/>
  <c r="FL9" i="1"/>
  <c r="FL8" i="1"/>
  <c r="I24" i="1"/>
  <c r="BC99" i="1" l="1"/>
  <c r="BD84" i="1" s="1"/>
  <c r="BC100" i="1"/>
  <c r="AX1" i="1"/>
  <c r="AV1" i="1"/>
  <c r="AU1" i="1"/>
  <c r="AT1" i="1"/>
  <c r="I46" i="1"/>
  <c r="GE4" i="1" l="1"/>
  <c r="F46" i="1"/>
  <c r="AY1" i="1"/>
  <c r="D3" i="1" s="1"/>
  <c r="X22" i="1" s="1"/>
  <c r="BO76" i="1" l="1"/>
  <c r="BO72" i="1"/>
  <c r="BK76" i="1"/>
  <c r="BK72" i="1"/>
  <c r="BG76" i="1"/>
  <c r="BG72" i="1"/>
  <c r="BO10" i="1"/>
  <c r="BK10" i="1"/>
  <c r="BG10" i="1"/>
  <c r="BC77" i="1"/>
  <c r="EW20" i="1" l="1"/>
  <c r="EW19" i="1"/>
  <c r="EW18" i="1"/>
  <c r="EW17" i="1"/>
  <c r="EW16" i="1"/>
  <c r="EW15" i="1"/>
  <c r="EW14" i="1"/>
  <c r="EW13" i="1"/>
  <c r="EW12" i="1"/>
  <c r="EW11" i="1"/>
  <c r="EW10" i="1"/>
  <c r="EW9" i="1"/>
  <c r="EW8" i="1"/>
  <c r="FE64" i="1" l="1"/>
  <c r="FE65" i="1"/>
  <c r="FE62" i="1"/>
  <c r="FE61" i="1"/>
  <c r="FE59" i="1"/>
  <c r="FE58" i="1"/>
  <c r="FE57" i="1"/>
  <c r="FE48" i="1"/>
  <c r="FE47" i="1"/>
  <c r="FE46" i="1"/>
  <c r="FE54" i="1"/>
  <c r="FE53" i="1"/>
  <c r="FE51" i="1"/>
  <c r="FE50" i="1"/>
  <c r="FC49" i="1"/>
  <c r="EZ49" i="1"/>
  <c r="FC48" i="1"/>
  <c r="FB48" i="1"/>
  <c r="FA48" i="1"/>
  <c r="EZ48" i="1"/>
  <c r="FC47" i="1"/>
  <c r="FB47" i="1"/>
  <c r="FA47" i="1"/>
  <c r="EZ47" i="1"/>
  <c r="FC46" i="1"/>
  <c r="FA46" i="1"/>
  <c r="EZ46" i="1"/>
  <c r="FC45" i="1"/>
  <c r="FB45" i="1"/>
  <c r="FA45" i="1"/>
  <c r="EZ45" i="1"/>
  <c r="FC44" i="1"/>
  <c r="FB44" i="1"/>
  <c r="FA44" i="1"/>
  <c r="EZ44" i="1"/>
  <c r="EY44" i="1"/>
  <c r="FC34" i="1"/>
  <c r="FB34" i="1"/>
  <c r="FA34" i="1"/>
  <c r="EZ34" i="1"/>
  <c r="FC33" i="1"/>
  <c r="FB33" i="1"/>
  <c r="FA33" i="1"/>
  <c r="EZ33" i="1"/>
  <c r="FC32" i="1"/>
  <c r="FB32" i="1"/>
  <c r="FA32" i="1"/>
  <c r="EZ32" i="1"/>
  <c r="EY32" i="1"/>
  <c r="FB30" i="1"/>
  <c r="FC28" i="1"/>
  <c r="FA28" i="1"/>
  <c r="EZ28" i="1"/>
  <c r="FC27" i="1"/>
  <c r="FB27" i="1"/>
  <c r="FA27" i="1"/>
  <c r="EZ27" i="1"/>
  <c r="FC26" i="1"/>
  <c r="FB26" i="1"/>
  <c r="FA26" i="1"/>
  <c r="EZ26" i="1"/>
  <c r="FC25" i="1"/>
  <c r="FB25" i="1"/>
  <c r="FA25" i="1"/>
  <c r="EZ25" i="1"/>
  <c r="FC24" i="1"/>
  <c r="FB24" i="1"/>
  <c r="FA24" i="1"/>
  <c r="EZ24" i="1"/>
  <c r="FC23" i="1"/>
  <c r="FB23" i="1"/>
  <c r="EZ23" i="1"/>
  <c r="FC53" i="1" l="1"/>
  <c r="FC58" i="1"/>
  <c r="FC57" i="1"/>
  <c r="FC56" i="1"/>
  <c r="FC54" i="1"/>
  <c r="FC52" i="1"/>
  <c r="FC60" i="1" l="1"/>
  <c r="FC61" i="1"/>
  <c r="FC62" i="1" l="1"/>
  <c r="G6" i="1" s="1"/>
  <c r="B45" i="1"/>
  <c r="EX45" i="1" s="1"/>
  <c r="B24" i="1"/>
  <c r="EX24" i="1" s="1"/>
  <c r="FA30" i="1" l="1"/>
  <c r="EX26" i="1"/>
  <c r="EX25" i="1" l="1"/>
  <c r="FA23" i="1"/>
  <c r="GF13" i="1" l="1"/>
  <c r="GQ13" i="1"/>
  <c r="GP13" i="1"/>
  <c r="GO13" i="1"/>
  <c r="GN13" i="1"/>
  <c r="GM13" i="1"/>
  <c r="GL13" i="1"/>
  <c r="GK13" i="1"/>
  <c r="GJ13" i="1"/>
  <c r="GI13" i="1"/>
  <c r="GH13" i="1"/>
  <c r="GG13" i="1"/>
  <c r="S19" i="1" l="1"/>
  <c r="S18" i="1"/>
  <c r="S17" i="1"/>
  <c r="S16" i="1"/>
  <c r="S15" i="1"/>
  <c r="J15" i="1" s="1"/>
  <c r="S13" i="1"/>
  <c r="J19" i="1" l="1"/>
  <c r="J17" i="1"/>
  <c r="J16" i="1"/>
  <c r="GD2" i="1" l="1"/>
  <c r="EU20" i="1"/>
  <c r="EU19" i="1"/>
  <c r="EU18" i="1"/>
  <c r="EU17" i="1"/>
  <c r="EU16" i="1"/>
  <c r="EU15" i="1"/>
  <c r="EU13" i="1"/>
  <c r="FB46" i="1" l="1"/>
  <c r="FB49" i="1" l="1"/>
  <c r="EU14" i="1"/>
  <c r="FA49" i="1" l="1"/>
  <c r="EU9" i="1"/>
  <c r="EU12" i="1"/>
  <c r="EU11" i="1"/>
  <c r="EU10" i="1"/>
  <c r="EU8" i="1"/>
  <c r="GE30" i="1"/>
  <c r="GQ30" i="1"/>
  <c r="GP30" i="1"/>
  <c r="GO30" i="1"/>
  <c r="GN30" i="1"/>
  <c r="GM30" i="1"/>
  <c r="GL30" i="1"/>
  <c r="GK30" i="1"/>
  <c r="GJ30" i="1"/>
  <c r="GI30" i="1"/>
  <c r="GH30" i="1"/>
  <c r="GG30" i="1"/>
  <c r="GF30" i="1"/>
  <c r="GQ11" i="1"/>
  <c r="GP11" i="1"/>
  <c r="GO11" i="1"/>
  <c r="GN11" i="1"/>
  <c r="GM11" i="1"/>
  <c r="GL11" i="1"/>
  <c r="GK11" i="1"/>
  <c r="GJ11" i="1"/>
  <c r="GI11" i="1"/>
  <c r="GH11" i="1"/>
  <c r="GG11" i="1"/>
  <c r="GF11" i="1"/>
  <c r="GE11" i="1"/>
  <c r="GO29" i="1"/>
  <c r="GN29" i="1"/>
  <c r="GM29" i="1"/>
  <c r="AD60" i="1"/>
  <c r="GK29" i="1" s="1"/>
  <c r="AD59" i="1"/>
  <c r="AA60" i="1"/>
  <c r="GQ29" i="1" s="1"/>
  <c r="AA59" i="1"/>
  <c r="AC60" i="1"/>
  <c r="GL29" i="1" s="1"/>
  <c r="AC59" i="1"/>
  <c r="GE27" i="1"/>
  <c r="GQ27" i="1"/>
  <c r="GP27" i="1"/>
  <c r="GO27" i="1"/>
  <c r="GN27" i="1"/>
  <c r="GM27" i="1"/>
  <c r="GL27" i="1"/>
  <c r="GK27" i="1"/>
  <c r="GJ27" i="1"/>
  <c r="GI27" i="1"/>
  <c r="GH27" i="1"/>
  <c r="GG27" i="1"/>
  <c r="GF27" i="1"/>
  <c r="GE25" i="1"/>
  <c r="GQ25" i="1"/>
  <c r="GP25" i="1"/>
  <c r="GO25" i="1"/>
  <c r="GN25" i="1"/>
  <c r="GM25" i="1"/>
  <c r="GL25" i="1"/>
  <c r="GK25" i="1"/>
  <c r="GJ25" i="1"/>
  <c r="GI25" i="1"/>
  <c r="GH25" i="1"/>
  <c r="GG25" i="1"/>
  <c r="GF25" i="1"/>
  <c r="GE24" i="1"/>
  <c r="GQ24" i="1"/>
  <c r="GP24" i="1"/>
  <c r="GO24" i="1"/>
  <c r="GN24" i="1"/>
  <c r="GM24" i="1"/>
  <c r="GL24" i="1"/>
  <c r="GK24" i="1"/>
  <c r="GJ24" i="1"/>
  <c r="GI24" i="1"/>
  <c r="GH24" i="1"/>
  <c r="GG24" i="1"/>
  <c r="GF24" i="1"/>
  <c r="GE22" i="1"/>
  <c r="GQ22" i="1"/>
  <c r="GP22" i="1"/>
  <c r="GO22" i="1"/>
  <c r="GN22" i="1"/>
  <c r="GM22" i="1"/>
  <c r="GL22" i="1"/>
  <c r="GK22" i="1"/>
  <c r="GJ22" i="1"/>
  <c r="GI22" i="1"/>
  <c r="GH22" i="1"/>
  <c r="GG22" i="1"/>
  <c r="GF22" i="1"/>
  <c r="GQ21" i="1"/>
  <c r="GP21" i="1"/>
  <c r="GO21" i="1"/>
  <c r="GN21" i="1"/>
  <c r="GM21" i="1"/>
  <c r="GL21" i="1"/>
  <c r="GK21" i="1"/>
  <c r="GE21" i="1"/>
  <c r="GJ21" i="1"/>
  <c r="GI21" i="1"/>
  <c r="GH21" i="1"/>
  <c r="GG21" i="1"/>
  <c r="GF21" i="1"/>
  <c r="GQ16" i="1"/>
  <c r="GP16" i="1"/>
  <c r="GO16" i="1"/>
  <c r="GN16" i="1"/>
  <c r="GM16" i="1"/>
  <c r="GL16" i="1"/>
  <c r="GK16" i="1"/>
  <c r="GJ16" i="1"/>
  <c r="GI16" i="1"/>
  <c r="GH16" i="1"/>
  <c r="GG16" i="1"/>
  <c r="GF16" i="1"/>
  <c r="GE16" i="1"/>
  <c r="GQ20" i="1"/>
  <c r="GP20" i="1"/>
  <c r="GO20" i="1"/>
  <c r="GN20" i="1"/>
  <c r="GM20" i="1"/>
  <c r="GL20" i="1"/>
  <c r="GK20" i="1"/>
  <c r="GJ20" i="1"/>
  <c r="GI20" i="1"/>
  <c r="GH20" i="1"/>
  <c r="GG20" i="1"/>
  <c r="GF20" i="1"/>
  <c r="GE20" i="1"/>
  <c r="GQ19" i="1"/>
  <c r="GP19" i="1"/>
  <c r="GO19" i="1"/>
  <c r="GN19" i="1"/>
  <c r="GM19" i="1"/>
  <c r="GL19" i="1"/>
  <c r="GK19" i="1"/>
  <c r="GJ19" i="1"/>
  <c r="GH19" i="1"/>
  <c r="GG19" i="1"/>
  <c r="GF19" i="1"/>
  <c r="GE19" i="1"/>
  <c r="GI19" i="1"/>
  <c r="GQ17" i="1"/>
  <c r="GP17" i="1"/>
  <c r="GO17" i="1"/>
  <c r="GN17" i="1"/>
  <c r="GM17" i="1"/>
  <c r="GL17" i="1"/>
  <c r="GK17" i="1"/>
  <c r="GJ17" i="1"/>
  <c r="GI17" i="1"/>
  <c r="GH17" i="1"/>
  <c r="GG17" i="1"/>
  <c r="GF17" i="1"/>
  <c r="GE17" i="1"/>
  <c r="GQ12" i="1"/>
  <c r="GP12" i="1"/>
  <c r="GO12" i="1"/>
  <c r="GN12" i="1"/>
  <c r="GM12" i="1"/>
  <c r="GL12" i="1"/>
  <c r="GJ12" i="1"/>
  <c r="GI12" i="1"/>
  <c r="GH12" i="1"/>
  <c r="GF12" i="1"/>
  <c r="GQ5" i="1"/>
  <c r="GP5" i="1"/>
  <c r="GO5" i="1"/>
  <c r="GN5" i="1"/>
  <c r="GM5" i="1"/>
  <c r="GL5" i="1"/>
  <c r="GK5" i="1"/>
  <c r="GJ5" i="1"/>
  <c r="GJ3" i="1" s="1"/>
  <c r="GQ8" i="1"/>
  <c r="GP8" i="1"/>
  <c r="GO8" i="1"/>
  <c r="GN8" i="1"/>
  <c r="GM8" i="1"/>
  <c r="GL8" i="1"/>
  <c r="GK8" i="1"/>
  <c r="GJ8" i="1"/>
  <c r="GI8" i="1"/>
  <c r="GH8" i="1"/>
  <c r="GG8" i="1"/>
  <c r="GF8" i="1"/>
  <c r="GE8" i="1"/>
  <c r="GQ7" i="1"/>
  <c r="GO7" i="1"/>
  <c r="GN7" i="1"/>
  <c r="GM7" i="1"/>
  <c r="GL7" i="1"/>
  <c r="GK7" i="1"/>
  <c r="GJ7" i="1"/>
  <c r="GI7" i="1"/>
  <c r="GH7" i="1"/>
  <c r="GG7" i="1"/>
  <c r="GF7" i="1"/>
  <c r="GE7" i="1"/>
  <c r="GQ14" i="1"/>
  <c r="GP14" i="1"/>
  <c r="GO14" i="1"/>
  <c r="GN14" i="1"/>
  <c r="GM14" i="1"/>
  <c r="GL14" i="1"/>
  <c r="GK14" i="1"/>
  <c r="GJ14" i="1"/>
  <c r="GI14" i="1"/>
  <c r="GH14" i="1"/>
  <c r="GG14" i="1"/>
  <c r="GF14" i="1"/>
  <c r="GE14" i="1"/>
  <c r="GF28" i="1" l="1"/>
  <c r="GP29" i="1"/>
  <c r="GL28" i="1"/>
  <c r="GP28" i="1"/>
  <c r="GM28" i="1"/>
  <c r="GQ28" i="1"/>
  <c r="GK28" i="1"/>
  <c r="GN28" i="1"/>
  <c r="GO28" i="1"/>
  <c r="GJ28" i="1"/>
  <c r="GF29" i="1"/>
  <c r="GG29" i="1"/>
  <c r="GJ29" i="1"/>
  <c r="GI29" i="1"/>
  <c r="GQ3" i="1"/>
  <c r="GQ36" i="1"/>
  <c r="GP3" i="1"/>
  <c r="GP36" i="1"/>
  <c r="GO3" i="1"/>
  <c r="GO36" i="1"/>
  <c r="GN3" i="1"/>
  <c r="GN36" i="1"/>
  <c r="GM3" i="1"/>
  <c r="GM36" i="1"/>
  <c r="GL3" i="1"/>
  <c r="GL36" i="1"/>
  <c r="GK3" i="1"/>
  <c r="GJ36" i="1"/>
  <c r="GK36" i="1"/>
  <c r="GE29" i="1"/>
  <c r="EU22" i="1"/>
  <c r="GG28" i="1"/>
  <c r="GI28" i="1"/>
  <c r="GH28" i="1"/>
  <c r="GH29" i="1"/>
  <c r="GE28" i="1"/>
  <c r="FA21" i="1"/>
  <c r="FM20" i="1" l="1"/>
  <c r="FM19" i="1"/>
  <c r="FM18" i="1"/>
  <c r="FM17" i="1"/>
  <c r="FM16" i="1"/>
  <c r="FM15" i="1"/>
  <c r="FM14" i="1"/>
  <c r="FM13" i="1"/>
  <c r="FH18" i="1"/>
  <c r="FH14" i="1"/>
  <c r="FH19" i="1"/>
  <c r="FH17" i="1"/>
  <c r="FH15" i="1"/>
  <c r="FH16" i="1"/>
  <c r="FH13" i="1"/>
  <c r="FM11" i="1" l="1"/>
  <c r="FM12" i="1"/>
  <c r="FM10" i="1"/>
  <c r="FM9" i="1"/>
  <c r="FM8" i="1"/>
  <c r="FH10" i="1"/>
  <c r="GI5" i="1" l="1"/>
  <c r="GH5" i="1"/>
  <c r="GG5" i="1"/>
  <c r="GF5" i="1"/>
  <c r="GF3" i="1" s="1"/>
  <c r="GE5" i="1"/>
  <c r="GE3" i="1" s="1"/>
  <c r="GI3" i="1" l="1"/>
  <c r="GI36" i="1"/>
  <c r="GH3" i="1"/>
  <c r="GH36" i="1"/>
  <c r="GF36" i="1"/>
  <c r="GE36" i="1"/>
  <c r="GG36" i="1"/>
  <c r="GG3" i="1"/>
  <c r="GE13" i="1"/>
  <c r="GC5" i="1" l="1"/>
  <c r="J13" i="1"/>
  <c r="EY22" i="1"/>
  <c r="J18" i="1" l="1"/>
  <c r="CN4" i="1" l="1"/>
  <c r="CN5" i="1"/>
  <c r="CN6" i="1"/>
  <c r="CN3" i="1"/>
  <c r="FB7" i="1"/>
  <c r="EZ7" i="1"/>
  <c r="EX7" i="1"/>
  <c r="EY4" i="1"/>
  <c r="EY3" i="1"/>
  <c r="EY2" i="1"/>
  <c r="EX4" i="1"/>
  <c r="EX3" i="1"/>
  <c r="EX2" i="1"/>
  <c r="EZ22" i="1"/>
  <c r="FB22" i="1"/>
  <c r="FC22" i="1"/>
  <c r="FC20" i="1"/>
  <c r="FA20" i="1"/>
  <c r="EX20" i="1"/>
  <c r="FC19" i="1"/>
  <c r="FA19" i="1"/>
  <c r="EX19" i="1"/>
  <c r="FC18" i="1"/>
  <c r="FA18" i="1"/>
  <c r="EX18" i="1"/>
  <c r="FC17" i="1"/>
  <c r="FA17" i="1"/>
  <c r="EX17" i="1"/>
  <c r="FC16" i="1"/>
  <c r="FA16" i="1"/>
  <c r="EX16" i="1"/>
  <c r="FC15" i="1"/>
  <c r="FA15" i="1"/>
  <c r="EX15" i="1"/>
  <c r="FC14" i="1"/>
  <c r="FA14" i="1"/>
  <c r="EX14" i="1"/>
  <c r="FC13" i="1"/>
  <c r="FA13" i="1"/>
  <c r="EX13" i="1"/>
  <c r="FC12" i="1"/>
  <c r="FA12" i="1"/>
  <c r="EX12" i="1"/>
  <c r="FC11" i="1"/>
  <c r="FA11" i="1"/>
  <c r="EX11" i="1"/>
  <c r="FC10" i="1"/>
  <c r="FA10" i="1"/>
  <c r="EX10" i="1"/>
  <c r="FC9" i="1"/>
  <c r="FA9" i="1"/>
  <c r="EX9" i="1"/>
  <c r="FC8" i="1"/>
  <c r="FA8" i="1"/>
  <c r="EX8" i="1"/>
  <c r="FG6" i="1" l="1"/>
  <c r="E7" i="1" s="1"/>
  <c r="H23" i="1"/>
  <c r="S20" i="1" s="1"/>
  <c r="J20" i="1" s="1"/>
  <c r="B27" i="1"/>
  <c r="EX27" i="1" s="1"/>
  <c r="FF6" i="1" l="1"/>
  <c r="C7" i="1" s="1"/>
  <c r="FA7" i="1"/>
  <c r="EX23" i="1"/>
  <c r="EY7" i="1" l="1"/>
  <c r="S14" i="1"/>
  <c r="J14" i="1" s="1"/>
  <c r="S12" i="1"/>
  <c r="J12" i="1" s="1"/>
  <c r="S9" i="1"/>
  <c r="J9" i="1" s="1"/>
  <c r="S10" i="1"/>
  <c r="J10" i="1" s="1"/>
  <c r="S11" i="1"/>
  <c r="J11" i="1" s="1"/>
  <c r="S8" i="1"/>
  <c r="J8" i="1" s="1"/>
  <c r="FB20" i="1" l="1"/>
  <c r="FB19" i="1"/>
  <c r="FB18" i="1"/>
  <c r="FB17" i="1"/>
  <c r="FB16" i="1"/>
  <c r="FB15" i="1"/>
  <c r="FB14" i="1"/>
  <c r="FB13" i="1"/>
  <c r="FB12" i="1"/>
  <c r="FB11" i="1"/>
  <c r="FB10" i="1"/>
  <c r="FB9" i="1"/>
  <c r="FB8" i="1"/>
  <c r="GE12" i="1" l="1"/>
  <c r="DH8" i="1"/>
  <c r="DM8" i="1" s="1"/>
  <c r="DH7" i="1"/>
  <c r="DH13" i="1"/>
  <c r="K12" i="1" s="1"/>
  <c r="DH9" i="1"/>
  <c r="DM9" i="1" s="1"/>
  <c r="DH6" i="1"/>
  <c r="DM6" i="1" s="1"/>
  <c r="DH5" i="1"/>
  <c r="DM5" i="1" s="1"/>
  <c r="DH4" i="1"/>
  <c r="DH12" i="1"/>
  <c r="DM12" i="1" s="1"/>
  <c r="DH11" i="1"/>
  <c r="DM11" i="1" s="1"/>
  <c r="DH10" i="1"/>
  <c r="DM10" i="1" s="1"/>
  <c r="FH20" i="1"/>
  <c r="FH12" i="1"/>
  <c r="FH9" i="1"/>
  <c r="FH11" i="1"/>
  <c r="FH8" i="1"/>
  <c r="DM7" i="1" l="1"/>
  <c r="DM17" i="1" s="1"/>
  <c r="K20" i="1"/>
  <c r="GQ6" i="1" s="1"/>
  <c r="K16" i="1"/>
  <c r="GM6" i="1" s="1"/>
  <c r="K19" i="1"/>
  <c r="GP6" i="1" s="1"/>
  <c r="K15" i="1"/>
  <c r="GL6" i="1" s="1"/>
  <c r="K18" i="1"/>
  <c r="GO6" i="1" s="1"/>
  <c r="K14" i="1"/>
  <c r="GK6" i="1" s="1"/>
  <c r="K17" i="1"/>
  <c r="GN6" i="1" s="1"/>
  <c r="K13" i="1"/>
  <c r="GJ6" i="1" s="1"/>
  <c r="H16" i="1"/>
  <c r="L16" i="1" s="1"/>
  <c r="GM32" i="1" s="1"/>
  <c r="H17" i="1"/>
  <c r="L17" i="1" s="1"/>
  <c r="GN32" i="1" s="1"/>
  <c r="H18" i="1"/>
  <c r="L18" i="1" s="1"/>
  <c r="DM13" i="1"/>
  <c r="K11" i="1"/>
  <c r="GH6" i="1" s="1"/>
  <c r="K10" i="1"/>
  <c r="GG6" i="1" s="1"/>
  <c r="K8" i="1"/>
  <c r="GE6" i="1" s="1"/>
  <c r="K9" i="1"/>
  <c r="GF6" i="1" s="1"/>
  <c r="H12" i="1"/>
  <c r="L12" i="1" s="1"/>
  <c r="GI6" i="1"/>
  <c r="H13" i="1"/>
  <c r="L13" i="1" s="1"/>
  <c r="H11" i="1"/>
  <c r="L11" i="1" s="1"/>
  <c r="H8" i="1"/>
  <c r="L8" i="1" s="1"/>
  <c r="H14" i="1"/>
  <c r="L14" i="1" s="1"/>
  <c r="H15" i="1"/>
  <c r="L15" i="1" s="1"/>
  <c r="GL32" i="1" s="1"/>
  <c r="H9" i="1"/>
  <c r="L9" i="1" s="1"/>
  <c r="H20" i="1"/>
  <c r="L20" i="1" s="1"/>
  <c r="H19" i="1"/>
  <c r="L19" i="1" s="1"/>
  <c r="H10" i="1"/>
  <c r="L10" i="1" s="1"/>
  <c r="DM4" i="1"/>
  <c r="DM16" i="1"/>
  <c r="FA22" i="1"/>
  <c r="GK12" i="1"/>
  <c r="GG12" i="1"/>
  <c r="FH6" i="1"/>
  <c r="DM15" i="1" l="1"/>
  <c r="G4" i="1"/>
  <c r="GG32" i="1"/>
  <c r="GP32" i="1"/>
  <c r="GF32" i="1"/>
  <c r="GH32" i="1"/>
  <c r="DN19" i="1"/>
  <c r="F28" i="1"/>
  <c r="FB28" i="1" s="1"/>
  <c r="GO32" i="1"/>
  <c r="GK32" i="1"/>
  <c r="GJ32" i="1"/>
  <c r="GQ32" i="1"/>
  <c r="GI32" i="1"/>
  <c r="G7" i="1"/>
  <c r="FI6" i="1"/>
  <c r="EZ9" i="1"/>
  <c r="EZ8" i="1"/>
  <c r="EZ11" i="1"/>
  <c r="EZ13" i="1"/>
  <c r="EZ10" i="1"/>
  <c r="EZ14" i="1"/>
  <c r="EZ18" i="1"/>
  <c r="EZ15" i="1"/>
  <c r="EZ19" i="1"/>
  <c r="EZ12" i="1"/>
  <c r="EZ16" i="1"/>
  <c r="EZ20" i="1"/>
  <c r="EZ17" i="1"/>
  <c r="BO79" i="1"/>
  <c r="BO77" i="1"/>
  <c r="BO75" i="1"/>
  <c r="BO74" i="1"/>
  <c r="BO73" i="1"/>
  <c r="BO71" i="1"/>
  <c r="BO70" i="1"/>
  <c r="BO67" i="1"/>
  <c r="BO66" i="1"/>
  <c r="BO65" i="1"/>
  <c r="BO64" i="1"/>
  <c r="BO63" i="1"/>
  <c r="BO62" i="1"/>
  <c r="BO61" i="1"/>
  <c r="BO60" i="1"/>
  <c r="BO59" i="1"/>
  <c r="BO58" i="1"/>
  <c r="BO57" i="1"/>
  <c r="BO56" i="1"/>
  <c r="BO54" i="1"/>
  <c r="BO53" i="1"/>
  <c r="BO52" i="1"/>
  <c r="BO51" i="1"/>
  <c r="BO50" i="1"/>
  <c r="BO49" i="1"/>
  <c r="BO48" i="1"/>
  <c r="BO47" i="1"/>
  <c r="BO46" i="1"/>
  <c r="BO45" i="1"/>
  <c r="BO44" i="1"/>
  <c r="BO35" i="1"/>
  <c r="BO34" i="1"/>
  <c r="BO33" i="1"/>
  <c r="BO32" i="1"/>
  <c r="BO31" i="1"/>
  <c r="BO30" i="1"/>
  <c r="BO29" i="1"/>
  <c r="BO28" i="1"/>
  <c r="BO27" i="1"/>
  <c r="BO26" i="1"/>
  <c r="BO23" i="1"/>
  <c r="BO22" i="1"/>
  <c r="BO21" i="1"/>
  <c r="BO20" i="1"/>
  <c r="BO19" i="1"/>
  <c r="BO18" i="1"/>
  <c r="BO17" i="1"/>
  <c r="BO16" i="1"/>
  <c r="BO15" i="1"/>
  <c r="BO14" i="1"/>
  <c r="BO13" i="1"/>
  <c r="BO12" i="1"/>
  <c r="BO11" i="1"/>
  <c r="BO9" i="1"/>
  <c r="BO8" i="1"/>
  <c r="BO7" i="1"/>
  <c r="BO6" i="1"/>
  <c r="BO5" i="1"/>
  <c r="BO4" i="1"/>
  <c r="BO3" i="1"/>
  <c r="BK79" i="1"/>
  <c r="BK77" i="1"/>
  <c r="BK75" i="1"/>
  <c r="BK74" i="1"/>
  <c r="BK73" i="1"/>
  <c r="BK71" i="1"/>
  <c r="BK70" i="1"/>
  <c r="BK67" i="1"/>
  <c r="BK66" i="1"/>
  <c r="BK65" i="1"/>
  <c r="BK64" i="1"/>
  <c r="BK63" i="1"/>
  <c r="BK62" i="1"/>
  <c r="BK61" i="1"/>
  <c r="BK60" i="1"/>
  <c r="BK59" i="1"/>
  <c r="BK58" i="1"/>
  <c r="BK57" i="1"/>
  <c r="BK56" i="1"/>
  <c r="BK54" i="1"/>
  <c r="BK53" i="1"/>
  <c r="BK52" i="1"/>
  <c r="BK51" i="1"/>
  <c r="BK50" i="1"/>
  <c r="BK49" i="1"/>
  <c r="BK48" i="1"/>
  <c r="BK47" i="1"/>
  <c r="BK46" i="1"/>
  <c r="BK45" i="1"/>
  <c r="BK44" i="1"/>
  <c r="BK35" i="1"/>
  <c r="BK34" i="1"/>
  <c r="BK33" i="1"/>
  <c r="BK32" i="1"/>
  <c r="BK31" i="1"/>
  <c r="BK30" i="1"/>
  <c r="BK29" i="1"/>
  <c r="BK28" i="1"/>
  <c r="BK27" i="1"/>
  <c r="BK26" i="1"/>
  <c r="BK23" i="1"/>
  <c r="BK22" i="1"/>
  <c r="BK21" i="1"/>
  <c r="BK20" i="1"/>
  <c r="BK19" i="1"/>
  <c r="BK18" i="1"/>
  <c r="BK17" i="1"/>
  <c r="BK16" i="1"/>
  <c r="BK15" i="1"/>
  <c r="BK14" i="1"/>
  <c r="BK13" i="1"/>
  <c r="BK12" i="1"/>
  <c r="BK11" i="1"/>
  <c r="BK9" i="1"/>
  <c r="BK8" i="1"/>
  <c r="BK7" i="1"/>
  <c r="BK6" i="1"/>
  <c r="BK5" i="1"/>
  <c r="BK4" i="1"/>
  <c r="BK3" i="1"/>
  <c r="BG79" i="1"/>
  <c r="BG77" i="1"/>
  <c r="BG75" i="1"/>
  <c r="BG74" i="1"/>
  <c r="BG73" i="1"/>
  <c r="BG71" i="1"/>
  <c r="BG70" i="1"/>
  <c r="BG67" i="1"/>
  <c r="BG66" i="1"/>
  <c r="BG65" i="1"/>
  <c r="BG64" i="1"/>
  <c r="BG63" i="1"/>
  <c r="BG62" i="1"/>
  <c r="BG61" i="1"/>
  <c r="BG60" i="1"/>
  <c r="BG59" i="1"/>
  <c r="BG58" i="1"/>
  <c r="BG57" i="1"/>
  <c r="BG56" i="1"/>
  <c r="BG54" i="1"/>
  <c r="BG53" i="1"/>
  <c r="BG52" i="1"/>
  <c r="BG51" i="1"/>
  <c r="BG50" i="1"/>
  <c r="BG49" i="1"/>
  <c r="BG48" i="1"/>
  <c r="BG47" i="1"/>
  <c r="BG46" i="1"/>
  <c r="BG45" i="1"/>
  <c r="BG44" i="1"/>
  <c r="BG35" i="1"/>
  <c r="BG34" i="1"/>
  <c r="BG33" i="1"/>
  <c r="BG32" i="1"/>
  <c r="BG31" i="1"/>
  <c r="BG30" i="1"/>
  <c r="BG29" i="1"/>
  <c r="BG28" i="1"/>
  <c r="BG27" i="1"/>
  <c r="BG26" i="1"/>
  <c r="BG23" i="1"/>
  <c r="BG22" i="1"/>
  <c r="BG21" i="1"/>
  <c r="BG20" i="1"/>
  <c r="BG19" i="1"/>
  <c r="BG18" i="1"/>
  <c r="BG17" i="1"/>
  <c r="BG16" i="1"/>
  <c r="BG15" i="1"/>
  <c r="BG14" i="1"/>
  <c r="BG13" i="1"/>
  <c r="BG12" i="1"/>
  <c r="BG11" i="1"/>
  <c r="BG9" i="1"/>
  <c r="BG8" i="1"/>
  <c r="BG7" i="1"/>
  <c r="BG6" i="1"/>
  <c r="BG5" i="1"/>
  <c r="BG4" i="1"/>
  <c r="BG3" i="1"/>
  <c r="BC22" i="1"/>
  <c r="BC21" i="1"/>
  <c r="BC20" i="1"/>
  <c r="BC19" i="1"/>
  <c r="BC18" i="1"/>
  <c r="BC17" i="1"/>
  <c r="BC16" i="1"/>
  <c r="BC15" i="1"/>
  <c r="BC14" i="1"/>
  <c r="BC13" i="1"/>
  <c r="BC12" i="1"/>
  <c r="BC11" i="1"/>
  <c r="BC10" i="1"/>
  <c r="BC9" i="1"/>
  <c r="BC8" i="1"/>
  <c r="BC7" i="1"/>
  <c r="BC6" i="1"/>
  <c r="BC5" i="1"/>
  <c r="BC4" i="1"/>
  <c r="BC3" i="1"/>
  <c r="BC80" i="1"/>
  <c r="BC78" i="1"/>
  <c r="BC76" i="1"/>
  <c r="BC75" i="1"/>
  <c r="BC74" i="1"/>
  <c r="BC73" i="1"/>
  <c r="BC72" i="1"/>
  <c r="BC71" i="1"/>
  <c r="BC70" i="1"/>
  <c r="BC65" i="1"/>
  <c r="BC64" i="1"/>
  <c r="BC63" i="1"/>
  <c r="BC62" i="1"/>
  <c r="BC61" i="1"/>
  <c r="BC60" i="1"/>
  <c r="BC59" i="1"/>
  <c r="BC58" i="1"/>
  <c r="BC57" i="1"/>
  <c r="BC56" i="1"/>
  <c r="BC54" i="1"/>
  <c r="BC53" i="1"/>
  <c r="BC52" i="1"/>
  <c r="BC51" i="1"/>
  <c r="BC50" i="1"/>
  <c r="BC49" i="1"/>
  <c r="BC48" i="1"/>
  <c r="BC47" i="1"/>
  <c r="BC46" i="1"/>
  <c r="BC45" i="1"/>
  <c r="BC44" i="1"/>
  <c r="BC43" i="1"/>
  <c r="BC42" i="1"/>
  <c r="BC41" i="1"/>
  <c r="BC40" i="1"/>
  <c r="BC39" i="1"/>
  <c r="BC35" i="1"/>
  <c r="BC34" i="1"/>
  <c r="BC33" i="1"/>
  <c r="BC32" i="1"/>
  <c r="BC31" i="1"/>
  <c r="BC30" i="1"/>
  <c r="BC29" i="1"/>
  <c r="BC28" i="1"/>
  <c r="BC27" i="1"/>
  <c r="BC26" i="1"/>
  <c r="I28" i="1"/>
  <c r="GE32" i="1" l="1"/>
  <c r="X25" i="1"/>
  <c r="FC7" i="1"/>
  <c r="X23" i="1"/>
  <c r="X26" i="1" l="1"/>
  <c r="GE1" i="1" s="1"/>
  <c r="C6" i="1"/>
  <c r="G5" i="1" l="1"/>
  <c r="GF1" i="1"/>
  <c r="GP9" i="1"/>
  <c r="GQ9" i="1"/>
  <c r="GN9" i="1"/>
  <c r="GO9" i="1"/>
  <c r="GK9" i="1"/>
  <c r="GM9" i="1"/>
  <c r="GL9" i="1"/>
  <c r="GI9" i="1"/>
  <c r="GJ9" i="1"/>
  <c r="GG9" i="1"/>
  <c r="GH9" i="1"/>
  <c r="GE9" i="1"/>
  <c r="GF9" i="1"/>
</calcChain>
</file>

<file path=xl/sharedStrings.xml><?xml version="1.0" encoding="utf-8"?>
<sst xmlns="http://schemas.openxmlformats.org/spreadsheetml/2006/main" count="7586" uniqueCount="1286">
  <si>
    <t>Shell</t>
  </si>
  <si>
    <t>Finish</t>
  </si>
  <si>
    <t>Badge</t>
  </si>
  <si>
    <t>Dealer</t>
  </si>
  <si>
    <t>PO</t>
  </si>
  <si>
    <t>Classic Maple</t>
  </si>
  <si>
    <t>Legacy Maple</t>
  </si>
  <si>
    <t>Legacy Mahogany</t>
  </si>
  <si>
    <t>Legacy Exotic</t>
  </si>
  <si>
    <t>W2 Avacado Strata</t>
  </si>
  <si>
    <t>W3 Burgundy Mist</t>
  </si>
  <si>
    <t>W4 Copper Rose Mist</t>
  </si>
  <si>
    <t>51 Mod Orange</t>
  </si>
  <si>
    <t>W1 White Strata</t>
  </si>
  <si>
    <t>Price</t>
  </si>
  <si>
    <t>Codif</t>
  </si>
  <si>
    <t>Type</t>
  </si>
  <si>
    <t>Size</t>
  </si>
  <si>
    <t>Lugs</t>
  </si>
  <si>
    <t>Bass</t>
  </si>
  <si>
    <t>Tom</t>
  </si>
  <si>
    <t>Floor</t>
  </si>
  <si>
    <t>Snare</t>
  </si>
  <si>
    <t>Cast Brass</t>
  </si>
  <si>
    <t>12x18 Bass Drum</t>
  </si>
  <si>
    <t>14x18 Bass Drum</t>
  </si>
  <si>
    <t>16x18 Bass Drum</t>
  </si>
  <si>
    <t>12x20 Bass Drum</t>
  </si>
  <si>
    <t>14x20 Bass Drum</t>
  </si>
  <si>
    <t>16x20 Bass Drum</t>
  </si>
  <si>
    <t>18x20 Bass Drum</t>
  </si>
  <si>
    <t>12x22 Bass Drum</t>
  </si>
  <si>
    <t>14x22 Bass Drum</t>
  </si>
  <si>
    <t>16x22 Bass Drum</t>
  </si>
  <si>
    <t>18x22 Bass Drum</t>
  </si>
  <si>
    <t>20x22 Bass Drum</t>
  </si>
  <si>
    <t>12x24 Bass Drum</t>
  </si>
  <si>
    <t>14x24 Bass Drum</t>
  </si>
  <si>
    <t>16x24 Bass Drum</t>
  </si>
  <si>
    <t>18x24 Bass Drum</t>
  </si>
  <si>
    <t>20x24 Bass Drum</t>
  </si>
  <si>
    <t>12x26 Bass Drum</t>
  </si>
  <si>
    <t>14x26 Bass Drum</t>
  </si>
  <si>
    <t>16x26 Bass Drum</t>
  </si>
  <si>
    <t>12x14 Floor Tom</t>
  </si>
  <si>
    <t>13x14 Floor Tom</t>
  </si>
  <si>
    <t>14x14 Floor Tom</t>
  </si>
  <si>
    <t>13x15 Floor Tom</t>
  </si>
  <si>
    <t>14x15 Floor Tom</t>
  </si>
  <si>
    <t>13x16 Floor tom</t>
  </si>
  <si>
    <t>14x16 Floor Tom</t>
  </si>
  <si>
    <t>15x16 Floor Tom</t>
  </si>
  <si>
    <t>16x16 Floor Tom</t>
  </si>
  <si>
    <t>16x18 Floor Tom</t>
  </si>
  <si>
    <t>13x16 Floor Tom</t>
  </si>
  <si>
    <t xml:space="preserve">7x6 Tom Tom </t>
  </si>
  <si>
    <t>8x6 Tom Tom</t>
  </si>
  <si>
    <t>7x8 Tom Tom</t>
  </si>
  <si>
    <t>8x8 Tom Tom</t>
  </si>
  <si>
    <t>7x10 Tom Tom</t>
  </si>
  <si>
    <t xml:space="preserve">7.5x10 Tom Tom </t>
  </si>
  <si>
    <t>8x10 Tom Tom</t>
  </si>
  <si>
    <t>9x10 Tom Tom</t>
  </si>
  <si>
    <t>8x12 Tom Tom</t>
  </si>
  <si>
    <t>9x12 Tom Tom</t>
  </si>
  <si>
    <t>10x12 Tom Tom</t>
  </si>
  <si>
    <t>11x12 Tom Tom</t>
  </si>
  <si>
    <t>9x13 Tom Tom</t>
  </si>
  <si>
    <t>10x13 Tom Tom</t>
  </si>
  <si>
    <t>11x13 Tom Tom</t>
  </si>
  <si>
    <t>12x13 Tom Tom</t>
  </si>
  <si>
    <t>10x14 Tom Tom</t>
  </si>
  <si>
    <t>11x14 Tom Tom</t>
  </si>
  <si>
    <t>12x14 Tom Tom</t>
  </si>
  <si>
    <t>13x14 Tom Tom</t>
  </si>
  <si>
    <t>14x14 Tom Tom</t>
  </si>
  <si>
    <t>12x15 Tom Tom</t>
  </si>
  <si>
    <t>13x15 Tom Tom</t>
  </si>
  <si>
    <t>14x15 Tom Tom</t>
  </si>
  <si>
    <t>14x16 Tom Tom</t>
  </si>
  <si>
    <t>16x16 Tom Tom</t>
  </si>
  <si>
    <t xml:space="preserve">13x16 Tom Tom </t>
  </si>
  <si>
    <t>15x16 Tom Tom</t>
  </si>
  <si>
    <t>6x12 Snare</t>
  </si>
  <si>
    <t>3.5x13 Snare</t>
  </si>
  <si>
    <t>6x13 Snare</t>
  </si>
  <si>
    <t>5x14 Snare</t>
  </si>
  <si>
    <t>6.5x14 Snare</t>
  </si>
  <si>
    <t>8x14 Snare</t>
  </si>
  <si>
    <t>5x14 8 Lug Snare</t>
  </si>
  <si>
    <t>6.5x14 8 Lug Snare</t>
  </si>
  <si>
    <t>Classic_Maple</t>
  </si>
  <si>
    <t>Legacy_Maple</t>
  </si>
  <si>
    <t>Legacy_Mahogany</t>
  </si>
  <si>
    <t>Legacy_Exotic</t>
  </si>
  <si>
    <t>Classic Maple Bass Size</t>
  </si>
  <si>
    <t>Legacy Maple Bass Size</t>
  </si>
  <si>
    <t>Legacy Mahogany Bass Size</t>
  </si>
  <si>
    <t>Legacy Exotic Bass Size</t>
  </si>
  <si>
    <t>Classic Maple Snare Size</t>
  </si>
  <si>
    <t>Legacy Mahogany Snare Size</t>
  </si>
  <si>
    <t>Legacy Exotic Snare Size</t>
  </si>
  <si>
    <t>Legacy Maple Floor Size</t>
  </si>
  <si>
    <t>Legacy Mahogany Floor Size</t>
  </si>
  <si>
    <t>Legacy Exotic Floor Size</t>
  </si>
  <si>
    <t>Classic Maple Floor Size</t>
  </si>
  <si>
    <t>Classic Maple Tom Size</t>
  </si>
  <si>
    <t>Legacy Maple Tom Size</t>
  </si>
  <si>
    <t>Legacy Mahogany Tom Size</t>
  </si>
  <si>
    <t>Legacy Exotic Tom Size</t>
  </si>
  <si>
    <t>Range</t>
  </si>
  <si>
    <t>Matcher</t>
  </si>
  <si>
    <t>B</t>
  </si>
  <si>
    <t>T</t>
  </si>
  <si>
    <t>F</t>
  </si>
  <si>
    <t>S</t>
  </si>
  <si>
    <t>LB828</t>
  </si>
  <si>
    <t>LB848</t>
  </si>
  <si>
    <t>LB868</t>
  </si>
  <si>
    <t>LB820</t>
  </si>
  <si>
    <t>LB840</t>
  </si>
  <si>
    <t>LB860</t>
  </si>
  <si>
    <t>LB880</t>
  </si>
  <si>
    <t>LB822</t>
  </si>
  <si>
    <t>LB842</t>
  </si>
  <si>
    <t>LB862</t>
  </si>
  <si>
    <t>LB882</t>
  </si>
  <si>
    <t>LB802</t>
  </si>
  <si>
    <t>LB824</t>
  </si>
  <si>
    <t>LB844</t>
  </si>
  <si>
    <t>LB864</t>
  </si>
  <si>
    <t>LB884</t>
  </si>
  <si>
    <t>LB804</t>
  </si>
  <si>
    <t>LB826</t>
  </si>
  <si>
    <t>LB846</t>
  </si>
  <si>
    <t>LB866</t>
  </si>
  <si>
    <t>LF824</t>
  </si>
  <si>
    <t>LF834</t>
  </si>
  <si>
    <t>LF844</t>
  </si>
  <si>
    <t>LF835</t>
  </si>
  <si>
    <t>LF845</t>
  </si>
  <si>
    <t>LF836</t>
  </si>
  <si>
    <t>LF846</t>
  </si>
  <si>
    <t>LF856</t>
  </si>
  <si>
    <t>LF866</t>
  </si>
  <si>
    <t>LF868</t>
  </si>
  <si>
    <t>LT876</t>
  </si>
  <si>
    <t>LT886</t>
  </si>
  <si>
    <t>LT888</t>
  </si>
  <si>
    <t>LT878</t>
  </si>
  <si>
    <t>LT870</t>
  </si>
  <si>
    <t>LT8750</t>
  </si>
  <si>
    <t>LT880</t>
  </si>
  <si>
    <t>LT890</t>
  </si>
  <si>
    <t>LT882</t>
  </si>
  <si>
    <t>LT892</t>
  </si>
  <si>
    <t>LT802</t>
  </si>
  <si>
    <t>LT812</t>
  </si>
  <si>
    <t>LT893</t>
  </si>
  <si>
    <t>LT803</t>
  </si>
  <si>
    <t>LT813</t>
  </si>
  <si>
    <t>LT823</t>
  </si>
  <si>
    <t>LT804</t>
  </si>
  <si>
    <t>LT814</t>
  </si>
  <si>
    <t>LT824</t>
  </si>
  <si>
    <t>LT834</t>
  </si>
  <si>
    <t>LT844</t>
  </si>
  <si>
    <t>LT825</t>
  </si>
  <si>
    <t>LT835</t>
  </si>
  <si>
    <t>LT845</t>
  </si>
  <si>
    <t>LT846</t>
  </si>
  <si>
    <t>LT866</t>
  </si>
  <si>
    <t>LS462</t>
  </si>
  <si>
    <t>LS555</t>
  </si>
  <si>
    <t>LS557</t>
  </si>
  <si>
    <t>LS401</t>
  </si>
  <si>
    <t>LS403</t>
  </si>
  <si>
    <t>LS804</t>
  </si>
  <si>
    <t>LLB328</t>
  </si>
  <si>
    <t>LLB348</t>
  </si>
  <si>
    <t>LLB368</t>
  </si>
  <si>
    <t>LLB320</t>
  </si>
  <si>
    <t>LLB340</t>
  </si>
  <si>
    <t>LLB360</t>
  </si>
  <si>
    <t>LLB380</t>
  </si>
  <si>
    <t>LLB322</t>
  </si>
  <si>
    <t>LLB342</t>
  </si>
  <si>
    <t>LLB362</t>
  </si>
  <si>
    <t>LLB382</t>
  </si>
  <si>
    <t>LLB302</t>
  </si>
  <si>
    <t>LLB324</t>
  </si>
  <si>
    <t>LLB344</t>
  </si>
  <si>
    <t>LLB364</t>
  </si>
  <si>
    <t>LLB384</t>
  </si>
  <si>
    <t>LLB304</t>
  </si>
  <si>
    <t>LLB326</t>
  </si>
  <si>
    <t>LLB346</t>
  </si>
  <si>
    <t>LLB366</t>
  </si>
  <si>
    <t>LLF324</t>
  </si>
  <si>
    <t>LLF334</t>
  </si>
  <si>
    <t>LLF344</t>
  </si>
  <si>
    <t>LLF335</t>
  </si>
  <si>
    <t>LLF345</t>
  </si>
  <si>
    <t>LLF336</t>
  </si>
  <si>
    <t>LLF346</t>
  </si>
  <si>
    <t>LLF356</t>
  </si>
  <si>
    <t>LLF366</t>
  </si>
  <si>
    <t>LLF368</t>
  </si>
  <si>
    <t>LLT370</t>
  </si>
  <si>
    <t>LLT380</t>
  </si>
  <si>
    <t>LLT390</t>
  </si>
  <si>
    <t>LLT382</t>
  </si>
  <si>
    <t>LLT392</t>
  </si>
  <si>
    <t>LLT302</t>
  </si>
  <si>
    <t>LLT312</t>
  </si>
  <si>
    <t>LLT393</t>
  </si>
  <si>
    <t>LLT303</t>
  </si>
  <si>
    <t>LLT313</t>
  </si>
  <si>
    <t>LLT323</t>
  </si>
  <si>
    <t>LLT304</t>
  </si>
  <si>
    <t>LLT314</t>
  </si>
  <si>
    <t>LLT324</t>
  </si>
  <si>
    <t>LLT334</t>
  </si>
  <si>
    <t>LLT344</t>
  </si>
  <si>
    <t>LLT325</t>
  </si>
  <si>
    <t>LLT335</t>
  </si>
  <si>
    <t>LLT345</t>
  </si>
  <si>
    <t>LLT336</t>
  </si>
  <si>
    <t>LLT346</t>
  </si>
  <si>
    <t>LLT356</t>
  </si>
  <si>
    <t>LLT366</t>
  </si>
  <si>
    <t>LLS362</t>
  </si>
  <si>
    <t>LLS363</t>
  </si>
  <si>
    <t>LLS354</t>
  </si>
  <si>
    <t>LLS364</t>
  </si>
  <si>
    <t>LLS384</t>
  </si>
  <si>
    <t>LLB528</t>
  </si>
  <si>
    <t>LLB548</t>
  </si>
  <si>
    <t>LLB568</t>
  </si>
  <si>
    <t>LLB520</t>
  </si>
  <si>
    <t>LLB540</t>
  </si>
  <si>
    <t>LLB560</t>
  </si>
  <si>
    <t>LLB580</t>
  </si>
  <si>
    <t>LLB522</t>
  </si>
  <si>
    <t>LLB542</t>
  </si>
  <si>
    <t>LLB562</t>
  </si>
  <si>
    <t>LLB582</t>
  </si>
  <si>
    <t>LLB502</t>
  </si>
  <si>
    <t>LLB524</t>
  </si>
  <si>
    <t>LLB544</t>
  </si>
  <si>
    <t>LLB564</t>
  </si>
  <si>
    <t>LLB584</t>
  </si>
  <si>
    <t>LLB504</t>
  </si>
  <si>
    <t>LLB526</t>
  </si>
  <si>
    <t>LLB546</t>
  </si>
  <si>
    <t>LLB566</t>
  </si>
  <si>
    <t>LLF524</t>
  </si>
  <si>
    <t>LLF534</t>
  </si>
  <si>
    <t>LLF544</t>
  </si>
  <si>
    <t>LLF535</t>
  </si>
  <si>
    <t>LLF545</t>
  </si>
  <si>
    <t>LLF536</t>
  </si>
  <si>
    <t>LLF546</t>
  </si>
  <si>
    <t>LLF556</t>
  </si>
  <si>
    <t>LLF566</t>
  </si>
  <si>
    <t>LLF568</t>
  </si>
  <si>
    <t>LLT570</t>
  </si>
  <si>
    <t>LLT580</t>
  </si>
  <si>
    <t>LLT590</t>
  </si>
  <si>
    <t>LLT582</t>
  </si>
  <si>
    <t>LLT592</t>
  </si>
  <si>
    <t>LLT502</t>
  </si>
  <si>
    <t>LLT512</t>
  </si>
  <si>
    <t>LLT593</t>
  </si>
  <si>
    <t>LLT503</t>
  </si>
  <si>
    <t>LLT513</t>
  </si>
  <si>
    <t>LLT523</t>
  </si>
  <si>
    <t>LLT504</t>
  </si>
  <si>
    <t>LLT514</t>
  </si>
  <si>
    <t>LLT524</t>
  </si>
  <si>
    <t>LLT534</t>
  </si>
  <si>
    <t>LLT544</t>
  </si>
  <si>
    <t>LLT525</t>
  </si>
  <si>
    <t>LLT535</t>
  </si>
  <si>
    <t>LLT545</t>
  </si>
  <si>
    <t>LLT536</t>
  </si>
  <si>
    <t>LLT546</t>
  </si>
  <si>
    <t>LLT556</t>
  </si>
  <si>
    <t>LLT566</t>
  </si>
  <si>
    <t>LLS562</t>
  </si>
  <si>
    <t>LLS563</t>
  </si>
  <si>
    <t>LLS554</t>
  </si>
  <si>
    <t>LLS564</t>
  </si>
  <si>
    <t>LLS584</t>
  </si>
  <si>
    <t>LLB428</t>
  </si>
  <si>
    <t>LLB448</t>
  </si>
  <si>
    <t>LLB468</t>
  </si>
  <si>
    <t>LLB420</t>
  </si>
  <si>
    <t>LLB440</t>
  </si>
  <si>
    <t>LLB460</t>
  </si>
  <si>
    <t>LLB480</t>
  </si>
  <si>
    <t>LLB422</t>
  </si>
  <si>
    <t>LLB442</t>
  </si>
  <si>
    <t>LLB462</t>
  </si>
  <si>
    <t>LLB482</t>
  </si>
  <si>
    <t>LLB402</t>
  </si>
  <si>
    <t>LLB424</t>
  </si>
  <si>
    <t>LLB444</t>
  </si>
  <si>
    <t>LLB464</t>
  </si>
  <si>
    <t>LLB484</t>
  </si>
  <si>
    <t>LLB404</t>
  </si>
  <si>
    <t>LLB426</t>
  </si>
  <si>
    <t>LLB446</t>
  </si>
  <si>
    <t>LLB466</t>
  </si>
  <si>
    <t>LLF424</t>
  </si>
  <si>
    <t>LLF434</t>
  </si>
  <si>
    <t>LLF444</t>
  </si>
  <si>
    <t>LLF435</t>
  </si>
  <si>
    <t>LLF445</t>
  </si>
  <si>
    <t>LLF436</t>
  </si>
  <si>
    <t>LLF446</t>
  </si>
  <si>
    <t>LLF456</t>
  </si>
  <si>
    <t>LLF466</t>
  </si>
  <si>
    <t>LLF468</t>
  </si>
  <si>
    <t>LLT470</t>
  </si>
  <si>
    <t>LLT480</t>
  </si>
  <si>
    <t>LLT490</t>
  </si>
  <si>
    <t>LLT482</t>
  </si>
  <si>
    <t>LLT492</t>
  </si>
  <si>
    <t>LLT402</t>
  </si>
  <si>
    <t>LLT412</t>
  </si>
  <si>
    <t>LLT493</t>
  </si>
  <si>
    <t>LLT403</t>
  </si>
  <si>
    <t>LLT413</t>
  </si>
  <si>
    <t>LLT423</t>
  </si>
  <si>
    <t>LLT404</t>
  </si>
  <si>
    <t>LLT414</t>
  </si>
  <si>
    <t>LLT424</t>
  </si>
  <si>
    <t>LLT434</t>
  </si>
  <si>
    <t>LLT444</t>
  </si>
  <si>
    <t>LLT425</t>
  </si>
  <si>
    <t>LLT435</t>
  </si>
  <si>
    <t>LLT445</t>
  </si>
  <si>
    <t>LLT436</t>
  </si>
  <si>
    <t>LLT446</t>
  </si>
  <si>
    <t>LLT456</t>
  </si>
  <si>
    <t>LLT466</t>
  </si>
  <si>
    <t>LLS462</t>
  </si>
  <si>
    <t>LLS463</t>
  </si>
  <si>
    <t>LLS454</t>
  </si>
  <si>
    <t>LLS464</t>
  </si>
  <si>
    <t>LLS484</t>
  </si>
  <si>
    <t>Classic Maple Price</t>
  </si>
  <si>
    <t>Legacy Maple Price</t>
  </si>
  <si>
    <t>Legacy Mahogany Price</t>
  </si>
  <si>
    <t>Legacy Exotic Price</t>
  </si>
  <si>
    <t>Large Classic</t>
  </si>
  <si>
    <t>Mini Classic</t>
  </si>
  <si>
    <t>Small Twin</t>
  </si>
  <si>
    <t>Large Twin</t>
  </si>
  <si>
    <t>Tube</t>
  </si>
  <si>
    <t>All Finishes</t>
  </si>
  <si>
    <t>Bass Mini Classic</t>
  </si>
  <si>
    <t>Bass Large Classic</t>
  </si>
  <si>
    <t>Floor Mini Classic</t>
  </si>
  <si>
    <t>Floor Large Classic</t>
  </si>
  <si>
    <t>Tom Mini Classic</t>
  </si>
  <si>
    <t>Tom Large Classic</t>
  </si>
  <si>
    <t>Snare Small Twin</t>
  </si>
  <si>
    <t>Snare Mini Classic</t>
  </si>
  <si>
    <t>Snare Large Twin</t>
  </si>
  <si>
    <t>Snare Tube</t>
  </si>
  <si>
    <t>Lugs Price</t>
  </si>
  <si>
    <t>Mounts</t>
  </si>
  <si>
    <t xml:space="preserve">P1216D Classic Ludwig Bracket </t>
  </si>
  <si>
    <t>P7202A Keystone Tom Bracket</t>
  </si>
  <si>
    <t>PM0046 Atlas Tom Bracket</t>
  </si>
  <si>
    <t>PLH1150 Triad Bracket</t>
  </si>
  <si>
    <t>LTL No Legs or Brackets</t>
  </si>
  <si>
    <t>PLH1152 Triad Brkts/Legs</t>
  </si>
  <si>
    <t>P85 Supraphonic Strainer</t>
  </si>
  <si>
    <t>P86 Millennium Strainer</t>
  </si>
  <si>
    <t>P88 Atlas Throwoff</t>
  </si>
  <si>
    <t>Bass Mounts</t>
  </si>
  <si>
    <t>Tom Mounts</t>
  </si>
  <si>
    <t>Floor Mounts</t>
  </si>
  <si>
    <t>XX</t>
  </si>
  <si>
    <t>WC</t>
  </si>
  <si>
    <t>EX</t>
  </si>
  <si>
    <t>ES</t>
  </si>
  <si>
    <t>EH</t>
  </si>
  <si>
    <t>LX</t>
  </si>
  <si>
    <t>LS</t>
  </si>
  <si>
    <t>LH</t>
  </si>
  <si>
    <t>AA</t>
  </si>
  <si>
    <t>AX</t>
  </si>
  <si>
    <t>A2</t>
  </si>
  <si>
    <t>A1</t>
  </si>
  <si>
    <t>LM</t>
  </si>
  <si>
    <t>KM</t>
  </si>
  <si>
    <t>AM</t>
  </si>
  <si>
    <t>TM</t>
  </si>
  <si>
    <t>KX</t>
  </si>
  <si>
    <t>TR</t>
  </si>
  <si>
    <t>Classic Maple Codif</t>
  </si>
  <si>
    <t>Legacy Maple Codif</t>
  </si>
  <si>
    <t>Legacy Mahogany Codif</t>
  </si>
  <si>
    <t>Legacy Exotic Codif</t>
  </si>
  <si>
    <t>Spurs</t>
  </si>
  <si>
    <t>Screws</t>
  </si>
  <si>
    <t>Satin Sable w/Inlay</t>
  </si>
  <si>
    <t>Satin Natural w/Inlay</t>
  </si>
  <si>
    <t>Satin Sable</t>
  </si>
  <si>
    <t>Satin Natural</t>
  </si>
  <si>
    <t>Satin Sable w/Accent</t>
  </si>
  <si>
    <t>Satin Natural w/Accent</t>
  </si>
  <si>
    <t>Full Finish</t>
  </si>
  <si>
    <t>Full Width Accent</t>
  </si>
  <si>
    <t>Sable Hoop</t>
  </si>
  <si>
    <t>Sable Black w/Inlay</t>
  </si>
  <si>
    <t>Sable Black w/Accent Inlay</t>
  </si>
  <si>
    <t>Natural Hoop</t>
  </si>
  <si>
    <t>Natural w/Inlay</t>
  </si>
  <si>
    <t>Natural w/Accent Inlay</t>
  </si>
  <si>
    <t>Matching Hoop</t>
  </si>
  <si>
    <t>Matching Hoop with Inlay</t>
  </si>
  <si>
    <t>Range Name</t>
  </si>
  <si>
    <t>AO Aged Onyx</t>
  </si>
  <si>
    <t>0G Black Cortex</t>
  </si>
  <si>
    <t>BG Black Galaxy</t>
  </si>
  <si>
    <t>0R Black Sparkle</t>
  </si>
  <si>
    <t>32 Blue Sparkle</t>
  </si>
  <si>
    <t>80 Blue Strata</t>
  </si>
  <si>
    <t>46 Brushed Gold</t>
  </si>
  <si>
    <t>45 Brushed Silver</t>
  </si>
  <si>
    <t>35 Customer Supply</t>
  </si>
  <si>
    <t>33 Gold Sparkle</t>
  </si>
  <si>
    <t>54 Green Sparkle</t>
  </si>
  <si>
    <t>JB Jumbo Black Pearl</t>
  </si>
  <si>
    <t>86 Olive Oyster</t>
  </si>
  <si>
    <t>36 Olive Sparkle</t>
  </si>
  <si>
    <t>2F Orange Glitter</t>
  </si>
  <si>
    <t>90 Pink Glitter</t>
  </si>
  <si>
    <t>27 Red Sparkle</t>
  </si>
  <si>
    <t>61 Red Swirl</t>
  </si>
  <si>
    <t>81 Ruby Strata</t>
  </si>
  <si>
    <t>SO Salmon Pearl</t>
  </si>
  <si>
    <t>0S Silver Sparkle</t>
  </si>
  <si>
    <t>52 Sky Blue Pearl</t>
  </si>
  <si>
    <t>77 Sunset Diamond Pearl</t>
  </si>
  <si>
    <t>37 Teal Blue Sparkle</t>
  </si>
  <si>
    <t>2A Titanium Glitter</t>
  </si>
  <si>
    <t>T8 Turquois Glitter</t>
  </si>
  <si>
    <t>1Q Vintage Black Oyster</t>
  </si>
  <si>
    <t>2Q Vintage Blue Oyster</t>
  </si>
  <si>
    <t>NM Vintage White Marine</t>
  </si>
  <si>
    <t>0F White Cortex</t>
  </si>
  <si>
    <t>0P White Marine Pearl</t>
  </si>
  <si>
    <t>T9 Yellow Glitter</t>
  </si>
  <si>
    <t>AB Aqua Burst</t>
  </si>
  <si>
    <t>BN Burnt Natural</t>
  </si>
  <si>
    <t>0Y Charcoal Shadow</t>
  </si>
  <si>
    <t>0L Cherry Stain</t>
  </si>
  <si>
    <t>RN Golden Slumbers</t>
  </si>
  <si>
    <t>HB Heritage Blue</t>
  </si>
  <si>
    <t>HG Heritage Green</t>
  </si>
  <si>
    <t>0M Mahogany Stain</t>
  </si>
  <si>
    <t>0N Natural Maple</t>
  </si>
  <si>
    <t>0T Sable Classic Coat</t>
  </si>
  <si>
    <t>SY Satin Charcoal</t>
  </si>
  <si>
    <t>SL Satin Cherry</t>
  </si>
  <si>
    <t>SM Satin Mahogany</t>
  </si>
  <si>
    <t>SN Satin Natural</t>
  </si>
  <si>
    <t>53 African Bubinga</t>
  </si>
  <si>
    <t>50 Birdseye Maple</t>
  </si>
  <si>
    <t>FE Fumed Eucalyptus</t>
  </si>
  <si>
    <t>S2 Lacewood, Supernatural</t>
  </si>
  <si>
    <t>S1 Lacewood, Nat-Red Burst</t>
  </si>
  <si>
    <t>L2 Limba, Supernatural</t>
  </si>
  <si>
    <t>L1 Limba, Nat/Mahogany Burst</t>
  </si>
  <si>
    <t>F1 Tamo Ash Clear</t>
  </si>
  <si>
    <t>Drum Total</t>
  </si>
  <si>
    <t>Bass Drum Details</t>
  </si>
  <si>
    <t xml:space="preserve">Hoops </t>
  </si>
  <si>
    <t>Default Bass Hoop</t>
  </si>
  <si>
    <t xml:space="preserve">Spurs </t>
  </si>
  <si>
    <t>Elite Kick Style</t>
  </si>
  <si>
    <t>v_size</t>
  </si>
  <si>
    <t>Elite Kick Spur</t>
  </si>
  <si>
    <t>Rocker Rotating Spur</t>
  </si>
  <si>
    <t>2 Pr. Curved Spurs</t>
  </si>
  <si>
    <t>No Spurs or Drilling</t>
  </si>
  <si>
    <t>Atlas Anchor</t>
  </si>
  <si>
    <t>Folding Spurs</t>
  </si>
  <si>
    <t>20x20 Bass Drum</t>
  </si>
  <si>
    <t>BD Count</t>
  </si>
  <si>
    <t>Front Head</t>
  </si>
  <si>
    <t>BD Front Head</t>
  </si>
  <si>
    <t>Change to</t>
  </si>
  <si>
    <t>Inlay/Accent</t>
  </si>
  <si>
    <t>Safeties, Constraints, Warnings</t>
  </si>
  <si>
    <t>C</t>
  </si>
  <si>
    <t>D</t>
  </si>
  <si>
    <t>E</t>
  </si>
  <si>
    <t>G</t>
  </si>
  <si>
    <t>A</t>
  </si>
  <si>
    <t>For Each Line</t>
  </si>
  <si>
    <t>Top Level</t>
  </si>
  <si>
    <t>Shell v Finish</t>
  </si>
  <si>
    <t>Size v Type</t>
  </si>
  <si>
    <t>Type v Size, 1 if error</t>
  </si>
  <si>
    <t>Column BZ</t>
  </si>
  <si>
    <t>Compares to</t>
  </si>
  <si>
    <t>Named Range</t>
  </si>
  <si>
    <t>Size v Lugs, 1 if error</t>
  </si>
  <si>
    <t>Type v Mounts, 1 if error</t>
  </si>
  <si>
    <t xml:space="preserve">Lugs named </t>
  </si>
  <si>
    <t>Mounts named</t>
  </si>
  <si>
    <t>range</t>
  </si>
  <si>
    <t>Keyrods</t>
  </si>
  <si>
    <t>Tone Control</t>
  </si>
  <si>
    <t>None</t>
  </si>
  <si>
    <t>Batter Head</t>
  </si>
  <si>
    <t>Clear Emperor</t>
  </si>
  <si>
    <t>Bottom Head</t>
  </si>
  <si>
    <t>Snare Details</t>
  </si>
  <si>
    <t>No Option</t>
  </si>
  <si>
    <t>Butt</t>
  </si>
  <si>
    <t>P35 Atlas</t>
  </si>
  <si>
    <t>No</t>
  </si>
  <si>
    <t>N/A</t>
  </si>
  <si>
    <t>Inlay accent</t>
  </si>
  <si>
    <t>C3</t>
  </si>
  <si>
    <t>Wraps</t>
  </si>
  <si>
    <t>Hoop</t>
  </si>
  <si>
    <t>Change to:</t>
  </si>
  <si>
    <t>BD Options</t>
  </si>
  <si>
    <t>FT Options</t>
  </si>
  <si>
    <t>TT Options</t>
  </si>
  <si>
    <t>SD Options</t>
  </si>
  <si>
    <t>Hoops</t>
  </si>
  <si>
    <t>MH Vintage Mahogany</t>
  </si>
  <si>
    <t>Triple Flange</t>
  </si>
  <si>
    <t>C11 Thin</t>
  </si>
  <si>
    <t>Clear PS3</t>
  </si>
  <si>
    <t>Selected</t>
  </si>
  <si>
    <t>Qty</t>
  </si>
  <si>
    <t>qty</t>
  </si>
  <si>
    <t>Bass Hoop</t>
  </si>
  <si>
    <t>Tom Holder</t>
  </si>
  <si>
    <t>Shell Mount</t>
  </si>
  <si>
    <t>Batter</t>
  </si>
  <si>
    <t>Reso</t>
  </si>
  <si>
    <t>Legs</t>
  </si>
  <si>
    <t>Double/Single</t>
  </si>
  <si>
    <t>Tom Bracket</t>
  </si>
  <si>
    <t>Throwoff</t>
  </si>
  <si>
    <t>These safeties kick in if user goes back and changes</t>
  </si>
  <si>
    <t xml:space="preserve">an earlier selection, causing an 'unmakable'.  </t>
  </si>
  <si>
    <t>P80 Piccolo Strainer</t>
  </si>
  <si>
    <t xml:space="preserve">Throwoff pricing. </t>
  </si>
  <si>
    <t>This is the named ranges for snare throwoff.</t>
  </si>
  <si>
    <t>BDMount</t>
  </si>
  <si>
    <t>TTMount</t>
  </si>
  <si>
    <t>FTMount</t>
  </si>
  <si>
    <t>SDMount</t>
  </si>
  <si>
    <t>Tom mounts depend on Lugs and size</t>
  </si>
  <si>
    <t>615 == No vibraBand</t>
  </si>
  <si>
    <t>Long</t>
  </si>
  <si>
    <t>ShellOnly</t>
  </si>
  <si>
    <t>AnyBrkt</t>
  </si>
  <si>
    <t>SizeGroup</t>
  </si>
  <si>
    <t>Classic</t>
  </si>
  <si>
    <t>ShellOnly.Long</t>
  </si>
  <si>
    <t>ShellOnly.Classic</t>
  </si>
  <si>
    <t>AnyBrkt.Long</t>
  </si>
  <si>
    <t>AnyBrkt.Classic</t>
  </si>
  <si>
    <t>6&amp;15 sizes, Mini/LC lugs</t>
  </si>
  <si>
    <t>Common Sizes, Mini/LC Lugs</t>
  </si>
  <si>
    <t>Lug type for Tom Brkt opts</t>
  </si>
  <si>
    <t>Inlay / Accent</t>
  </si>
  <si>
    <t>Concat</t>
  </si>
  <si>
    <t>MPLBDCUSTOM</t>
  </si>
  <si>
    <t>MPLTTCUSTOM</t>
  </si>
  <si>
    <t>MPLFTCUSTOM</t>
  </si>
  <si>
    <t>MPLSDCUSTOM</t>
  </si>
  <si>
    <t>LCBDCUSTOM</t>
  </si>
  <si>
    <t>LCTTCUSTOM</t>
  </si>
  <si>
    <t>LCFTCUSTOM</t>
  </si>
  <si>
    <t>LCSDCUSTOM</t>
  </si>
  <si>
    <t>LMBDCUSTOM</t>
  </si>
  <si>
    <t>LMTTCUSTOM</t>
  </si>
  <si>
    <t>LMFTCUSTOM</t>
  </si>
  <si>
    <t>LMSDCUSTOM</t>
  </si>
  <si>
    <t>LXBDCUSTOM</t>
  </si>
  <si>
    <t>LXTTCUSTOM</t>
  </si>
  <si>
    <t>LXFTCUSTOM</t>
  </si>
  <si>
    <t>LXSDCUSTOM</t>
  </si>
  <si>
    <t>Item ##</t>
  </si>
  <si>
    <t>PM0046  Atlas Brkts/Legs</t>
  </si>
  <si>
    <t>LC7202TL Keystone Brkts/Legs</t>
  </si>
  <si>
    <t>See column EO to see how the range is selected.</t>
  </si>
  <si>
    <t>Count</t>
  </si>
  <si>
    <t>Total Drums</t>
  </si>
  <si>
    <t>Blue Olive</t>
  </si>
  <si>
    <t>Item Number</t>
  </si>
  <si>
    <t>Snares CAN'T Have PDC hoops</t>
  </si>
  <si>
    <t>Pair Die Cast Hoops</t>
  </si>
  <si>
    <t>Snares CAN Have PDC hoops</t>
  </si>
  <si>
    <t>Short Desc</t>
  </si>
  <si>
    <t>LC5023TL Classic Brkts/Legs</t>
  </si>
  <si>
    <t>Sprays</t>
  </si>
  <si>
    <t>MH</t>
  </si>
  <si>
    <t>Std Inlay</t>
  </si>
  <si>
    <t>Sable</t>
  </si>
  <si>
    <t>Satins</t>
  </si>
  <si>
    <t>Option Hoop</t>
  </si>
  <si>
    <t>Cortex</t>
  </si>
  <si>
    <t>SN0N</t>
  </si>
  <si>
    <t>These are the named ranges for optional bass drum hoops.</t>
  </si>
  <si>
    <t>WrapsST</t>
  </si>
  <si>
    <t>WrapsSN</t>
  </si>
  <si>
    <t>Matching Hoop w/Inlay</t>
  </si>
  <si>
    <t>Natural w/Accent</t>
  </si>
  <si>
    <t>Option Hoop Named Range</t>
  </si>
  <si>
    <t>Option inlay range</t>
  </si>
  <si>
    <t>if it's Vintage Mahogany and G22 is blank, then NM Vintage White Marine</t>
  </si>
  <si>
    <t>The logic for standard inlay/accent</t>
  </si>
  <si>
    <t>if G22 is an Accent or an Inlay, then lookup the default inlay</t>
  </si>
  <si>
    <t>if G22 is blank and E22 is an inlay, then it's C3. (E22 can't be an Accent)</t>
  </si>
  <si>
    <t>TT Count</t>
  </si>
  <si>
    <t>FT Count</t>
  </si>
  <si>
    <t>SD Count</t>
  </si>
  <si>
    <t>is a 12mm tom holder selected?</t>
  </si>
  <si>
    <t>is a 10mm tom holder selected?</t>
  </si>
  <si>
    <t>is a 9mm tom holder selected</t>
  </si>
  <si>
    <t>is a 12mm tom bracket selected?</t>
  </si>
  <si>
    <t>is a 10mm tom bracket selected?</t>
  </si>
  <si>
    <t>is a 9mm tom bracket selected?</t>
  </si>
  <si>
    <t>Tom bracket too big</t>
  </si>
  <si>
    <t>Tom bracket too small</t>
  </si>
  <si>
    <t>Rod Size</t>
  </si>
  <si>
    <t>G8 &gt;&gt; G20</t>
  </si>
  <si>
    <t xml:space="preserve">In English:  if a 9mm brkt is chosen, and a 10 or 12mm holder is chosen  </t>
  </si>
  <si>
    <t>OR if a 10mm brkt is chosen and a 12mm holder is chosen</t>
  </si>
  <si>
    <t>Tom Brkt too small</t>
  </si>
  <si>
    <t>Tom Brkt too big.</t>
  </si>
  <si>
    <t>In English:  if a 12mm brkt is chosen and a 9 or 10mm holder is chosen</t>
  </si>
  <si>
    <t>Tom Holder/Brkt Mis-Match</t>
  </si>
  <si>
    <t>All Sizes</t>
  </si>
  <si>
    <t>EH52</t>
  </si>
  <si>
    <t>EH53</t>
  </si>
  <si>
    <t>Sizes</t>
  </si>
  <si>
    <t>Finishes</t>
  </si>
  <si>
    <t>BTS</t>
  </si>
  <si>
    <t>Descriptive Item #</t>
  </si>
  <si>
    <t>Z58</t>
  </si>
  <si>
    <t>Classic Oak</t>
  </si>
  <si>
    <t>Classic_Oak</t>
  </si>
  <si>
    <t>Chrome Cast</t>
  </si>
  <si>
    <t>Base Price</t>
  </si>
  <si>
    <t>Prices</t>
  </si>
  <si>
    <t>Classic Oak Price</t>
  </si>
  <si>
    <t>CPT_code</t>
  </si>
  <si>
    <t>7_6T</t>
  </si>
  <si>
    <t>8_6T</t>
  </si>
  <si>
    <t>7_8T</t>
  </si>
  <si>
    <t>8_8T</t>
  </si>
  <si>
    <t>7_10T</t>
  </si>
  <si>
    <t>8_10T</t>
  </si>
  <si>
    <t>9_10T</t>
  </si>
  <si>
    <t>8_12T</t>
  </si>
  <si>
    <t>9_12T</t>
  </si>
  <si>
    <t>9_13T</t>
  </si>
  <si>
    <t>7H_10T</t>
  </si>
  <si>
    <t>6_12S</t>
  </si>
  <si>
    <t>6_13S</t>
  </si>
  <si>
    <t>5_14S</t>
  </si>
  <si>
    <t>8_14S</t>
  </si>
  <si>
    <t>3H_13S</t>
  </si>
  <si>
    <t>6H_14S</t>
  </si>
  <si>
    <t>5_14x8S</t>
  </si>
  <si>
    <t>6H_14x8S</t>
  </si>
  <si>
    <t>12_18B</t>
  </si>
  <si>
    <t>14_18B</t>
  </si>
  <si>
    <t>16_18B</t>
  </si>
  <si>
    <t>12_20B</t>
  </si>
  <si>
    <t>14_20B</t>
  </si>
  <si>
    <t>16_20B</t>
  </si>
  <si>
    <t>18_20B</t>
  </si>
  <si>
    <t>12_22B</t>
  </si>
  <si>
    <t>14_22B</t>
  </si>
  <si>
    <t>16_22B</t>
  </si>
  <si>
    <t>18_22B</t>
  </si>
  <si>
    <t>20_22B</t>
  </si>
  <si>
    <t>12_24B</t>
  </si>
  <si>
    <t>14_24B</t>
  </si>
  <si>
    <t>16_24B</t>
  </si>
  <si>
    <t>18_24B</t>
  </si>
  <si>
    <t>20_24B</t>
  </si>
  <si>
    <t>12_26B</t>
  </si>
  <si>
    <t>14_26B</t>
  </si>
  <si>
    <t>16_26B</t>
  </si>
  <si>
    <t>12_14F</t>
  </si>
  <si>
    <t>13_14F</t>
  </si>
  <si>
    <t>14_14F</t>
  </si>
  <si>
    <t>13_15F</t>
  </si>
  <si>
    <t>14_15F</t>
  </si>
  <si>
    <t>13_16F</t>
  </si>
  <si>
    <t>14_16F</t>
  </si>
  <si>
    <t>15_16F</t>
  </si>
  <si>
    <t>16_16F</t>
  </si>
  <si>
    <t>16_18F</t>
  </si>
  <si>
    <t>10_12T</t>
  </si>
  <si>
    <t>11_12T</t>
  </si>
  <si>
    <t>10_13T</t>
  </si>
  <si>
    <t>11_13T</t>
  </si>
  <si>
    <t>12_13T</t>
  </si>
  <si>
    <t>10_14T</t>
  </si>
  <si>
    <t>11_14T</t>
  </si>
  <si>
    <t>12_14T</t>
  </si>
  <si>
    <t>13_14T</t>
  </si>
  <si>
    <t>14_14T</t>
  </si>
  <si>
    <t>12_15T</t>
  </si>
  <si>
    <t>13_15T</t>
  </si>
  <si>
    <t>14_15T</t>
  </si>
  <si>
    <t>13_16T</t>
  </si>
  <si>
    <t>14_16T</t>
  </si>
  <si>
    <t>15_16T</t>
  </si>
  <si>
    <t>16_16T</t>
  </si>
  <si>
    <t>L8</t>
  </si>
  <si>
    <t>LL</t>
  </si>
  <si>
    <t>LO</t>
  </si>
  <si>
    <t>10_14S</t>
  </si>
  <si>
    <t>16_18T</t>
  </si>
  <si>
    <t>6_6T</t>
  </si>
  <si>
    <t>6_8T</t>
  </si>
  <si>
    <t>9_14T</t>
  </si>
  <si>
    <t>20_20B</t>
  </si>
  <si>
    <t>4_14S</t>
  </si>
  <si>
    <t>4_14x8S</t>
  </si>
  <si>
    <t>v_shell</t>
  </si>
  <si>
    <t>Effective</t>
  </si>
  <si>
    <t>Result</t>
  </si>
  <si>
    <t>4x14 Snare</t>
  </si>
  <si>
    <t>4x14 8 Lug Snare</t>
  </si>
  <si>
    <t>LS444</t>
  </si>
  <si>
    <t>LLB300</t>
  </si>
  <si>
    <t>LLB500</t>
  </si>
  <si>
    <t>LLB400</t>
  </si>
  <si>
    <t>LLS344</t>
  </si>
  <si>
    <t>Legacy Maple Snare Size</t>
  </si>
  <si>
    <t>LLS544</t>
  </si>
  <si>
    <t>LLS444</t>
  </si>
  <si>
    <t>Classic Oak Codif</t>
  </si>
  <si>
    <t>Classic Oak Bass Size</t>
  </si>
  <si>
    <t>Classic Oak Floor Size</t>
  </si>
  <si>
    <t>Classic Oak Tom Size</t>
  </si>
  <si>
    <t>Classic Oak Snare Size</t>
  </si>
  <si>
    <t>LCB728</t>
  </si>
  <si>
    <t>LCB748</t>
  </si>
  <si>
    <t>LCB768</t>
  </si>
  <si>
    <t>LCB720</t>
  </si>
  <si>
    <t>LCB740</t>
  </si>
  <si>
    <t>LCB760</t>
  </si>
  <si>
    <t>LCB780</t>
  </si>
  <si>
    <t>LCB722</t>
  </si>
  <si>
    <t>LCB742</t>
  </si>
  <si>
    <t>LCB762</t>
  </si>
  <si>
    <t>LCB782</t>
  </si>
  <si>
    <t>LCB702</t>
  </si>
  <si>
    <t>LCB724</t>
  </si>
  <si>
    <t>LCB744</t>
  </si>
  <si>
    <t>LCB764</t>
  </si>
  <si>
    <t>LCB784</t>
  </si>
  <si>
    <t>LCB704</t>
  </si>
  <si>
    <t>LCB726</t>
  </si>
  <si>
    <t>LCB746</t>
  </si>
  <si>
    <t>LCB766</t>
  </si>
  <si>
    <t>LCF724</t>
  </si>
  <si>
    <t>LCF734</t>
  </si>
  <si>
    <t>LCF744</t>
  </si>
  <si>
    <t>LCF735</t>
  </si>
  <si>
    <t>LCF745</t>
  </si>
  <si>
    <t>LCF736</t>
  </si>
  <si>
    <t>LCF746</t>
  </si>
  <si>
    <t>LCF756</t>
  </si>
  <si>
    <t>LCF766</t>
  </si>
  <si>
    <t>LCF768</t>
  </si>
  <si>
    <t>LCT778</t>
  </si>
  <si>
    <t>LCT788</t>
  </si>
  <si>
    <t>LCT770</t>
  </si>
  <si>
    <t>LCT7750</t>
  </si>
  <si>
    <t>LCT780</t>
  </si>
  <si>
    <t>LCT790</t>
  </si>
  <si>
    <t>LCT782</t>
  </si>
  <si>
    <t>LCT792</t>
  </si>
  <si>
    <t>LCT702</t>
  </si>
  <si>
    <t>LCT712</t>
  </si>
  <si>
    <t>LCT793</t>
  </si>
  <si>
    <t>LCT703</t>
  </si>
  <si>
    <t>LCT713</t>
  </si>
  <si>
    <t>LCT723</t>
  </si>
  <si>
    <t>LCT704</t>
  </si>
  <si>
    <t>LCT714</t>
  </si>
  <si>
    <t>LCT724</t>
  </si>
  <si>
    <t>LCT734</t>
  </si>
  <si>
    <t>LCT744</t>
  </si>
  <si>
    <t>LCT725</t>
  </si>
  <si>
    <t>LCT735</t>
  </si>
  <si>
    <t>LCT745</t>
  </si>
  <si>
    <t>LCT746</t>
  </si>
  <si>
    <t>LCT766</t>
  </si>
  <si>
    <t>BH Night Oak</t>
  </si>
  <si>
    <t>finType</t>
  </si>
  <si>
    <t>W</t>
  </si>
  <si>
    <t>V</t>
  </si>
  <si>
    <t>IOV</t>
  </si>
  <si>
    <t>Classic Maple W</t>
  </si>
  <si>
    <t>Classic Maple S</t>
  </si>
  <si>
    <t>Classic Maple V</t>
  </si>
  <si>
    <t>Classic Maple IOV</t>
  </si>
  <si>
    <t>Legacy Maple W</t>
  </si>
  <si>
    <t>Legacy Mahogany W</t>
  </si>
  <si>
    <t>Legacy Mahogany S</t>
  </si>
  <si>
    <t>Legacy Exotic S</t>
  </si>
  <si>
    <t>Legacy Exotic IOV</t>
  </si>
  <si>
    <t>Classic Oak W</t>
  </si>
  <si>
    <t>Classic Oak S</t>
  </si>
  <si>
    <t>LC</t>
  </si>
  <si>
    <t>LI</t>
  </si>
  <si>
    <t>ML</t>
  </si>
  <si>
    <t>LT</t>
  </si>
  <si>
    <t>SI</t>
  </si>
  <si>
    <t>Large Imperial</t>
  </si>
  <si>
    <t>Small Imperial</t>
  </si>
  <si>
    <t>MLLC</t>
  </si>
  <si>
    <t>MLSIST</t>
  </si>
  <si>
    <t>Values</t>
  </si>
  <si>
    <t>Bass Large Twin</t>
  </si>
  <si>
    <t>WT</t>
  </si>
  <si>
    <t>Bass Large Imperial</t>
  </si>
  <si>
    <t>WI</t>
  </si>
  <si>
    <t>Floor Large Twin</t>
  </si>
  <si>
    <t>Floor Large Imperial</t>
  </si>
  <si>
    <t>Tom Small Twin</t>
  </si>
  <si>
    <t>Tom Small Imperial</t>
  </si>
  <si>
    <t>Snare Small Imperial</t>
  </si>
  <si>
    <t>Throw_P80</t>
  </si>
  <si>
    <t>Selected (1 if yes)</t>
  </si>
  <si>
    <t>Double / Single Head</t>
  </si>
  <si>
    <t>Double</t>
  </si>
  <si>
    <t>Bearing Edge</t>
  </si>
  <si>
    <t>Throws_85_86_88</t>
  </si>
  <si>
    <t>Size group</t>
  </si>
  <si>
    <t>Small</t>
  </si>
  <si>
    <t>Big</t>
  </si>
  <si>
    <t>Lugs for</t>
  </si>
  <si>
    <t>Split</t>
  </si>
  <si>
    <t>Sngl</t>
  </si>
  <si>
    <t xml:space="preserve">Size </t>
  </si>
  <si>
    <t>Single</t>
  </si>
  <si>
    <t>Edges</t>
  </si>
  <si>
    <t>options</t>
  </si>
  <si>
    <t>Single 45</t>
  </si>
  <si>
    <t>Double 45</t>
  </si>
  <si>
    <t>Rounded</t>
  </si>
  <si>
    <t>Legacy Edges</t>
  </si>
  <si>
    <t>Edges_Classic_Maple</t>
  </si>
  <si>
    <t>Edges_Legacy_Maple</t>
  </si>
  <si>
    <t>Edges_Legacy_Mahogany</t>
  </si>
  <si>
    <t>Edges_Legacy_Exotic</t>
  </si>
  <si>
    <t>Edges_Classic_Oak</t>
  </si>
  <si>
    <t>FinType</t>
  </si>
  <si>
    <t>BD Hoop options</t>
  </si>
  <si>
    <t xml:space="preserve">Interior Finish   </t>
  </si>
  <si>
    <t>IntFin</t>
  </si>
  <si>
    <t>IntFin_Clear</t>
  </si>
  <si>
    <t>IntFin_Choice</t>
  </si>
  <si>
    <t>Clear Lacquer</t>
  </si>
  <si>
    <t>Looks up FinType based on selection</t>
  </si>
  <si>
    <t>IntFin Options</t>
  </si>
  <si>
    <t xml:space="preserve">Looks up the correct named range for </t>
  </si>
  <si>
    <t>validation of Interior finish choice C5.</t>
  </si>
  <si>
    <t>from cpt</t>
  </si>
  <si>
    <t>Shell Mount Cymbal Holder</t>
  </si>
  <si>
    <t>Right Side</t>
  </si>
  <si>
    <t>Left Side</t>
  </si>
  <si>
    <t>Left and Right</t>
  </si>
  <si>
    <t>Legacy Maple Legacy Edges</t>
  </si>
  <si>
    <t>Legacy Mahogany Legacy Edges</t>
  </si>
  <si>
    <t>Legacy Exotic Legacy Edges</t>
  </si>
  <si>
    <t>Classic Oak Double 45</t>
  </si>
  <si>
    <t>Classic Maple Single 45</t>
  </si>
  <si>
    <t>Classic Maple Double 45</t>
  </si>
  <si>
    <t>Classic Maple Rounded</t>
  </si>
  <si>
    <t>Classic_Maple_Badge</t>
  </si>
  <si>
    <t>Legacy_Maple_Badge</t>
  </si>
  <si>
    <t>Legacy_Mahogany_Badge</t>
  </si>
  <si>
    <t>Legacy_Exotic_Badge</t>
  </si>
  <si>
    <t>Classic_Oak_Badge</t>
  </si>
  <si>
    <t>The cell below creates the named range to lookup up badge options.</t>
  </si>
  <si>
    <t>Blue/Olive</t>
  </si>
  <si>
    <t>BB85:BB95 evaluates if each size has been chosen</t>
  </si>
  <si>
    <t>BA80 adds up any sizes that CAN'T have PDC</t>
  </si>
  <si>
    <t>BC83 is the data validation list for the user selection</t>
  </si>
  <si>
    <t>lines</t>
  </si>
  <si>
    <t>Snare Hoops</t>
  </si>
  <si>
    <t>Interior Finish</t>
  </si>
  <si>
    <t>Final answer</t>
  </si>
  <si>
    <t>Chosen</t>
  </si>
  <si>
    <t>OAKBDCUSTOM</t>
  </si>
  <si>
    <t>OAKTTCUSTOM</t>
  </si>
  <si>
    <t>OAKFTCUSTOM</t>
  </si>
  <si>
    <t>LB800</t>
  </si>
  <si>
    <t>LLT3750</t>
  </si>
  <si>
    <t>LLT5750</t>
  </si>
  <si>
    <t>LLT4750</t>
  </si>
  <si>
    <t>Position</t>
  </si>
  <si>
    <t>Bass Mounts (Depend on Lugs)</t>
  </si>
  <si>
    <t>DblSngl</t>
  </si>
  <si>
    <t>Tom_DblSngl</t>
  </si>
  <si>
    <t>Floor_DblSngl</t>
  </si>
  <si>
    <t>Bass_DblSngl</t>
  </si>
  <si>
    <t>TT_Double</t>
  </si>
  <si>
    <t>FT_Double</t>
  </si>
  <si>
    <t>BD_Double</t>
  </si>
  <si>
    <t>if 0, then you can choose Single or dbl head</t>
  </si>
  <si>
    <t>if 1, you can only choose dbl heads</t>
  </si>
  <si>
    <t>This box works out whether single head is an option for each line</t>
  </si>
  <si>
    <t>CustomerType</t>
  </si>
  <si>
    <t>LS762</t>
  </si>
  <si>
    <t>LS733</t>
  </si>
  <si>
    <t>LS744</t>
  </si>
  <si>
    <t>LS763</t>
  </si>
  <si>
    <t>LS754</t>
  </si>
  <si>
    <t>LS764</t>
  </si>
  <si>
    <t>LS784</t>
  </si>
  <si>
    <t>All Sizes (useless)</t>
  </si>
  <si>
    <t>9x14 Tom Tom</t>
  </si>
  <si>
    <t>LT894</t>
  </si>
  <si>
    <t>LLT394</t>
  </si>
  <si>
    <t>LLT594</t>
  </si>
  <si>
    <t>LLT494</t>
  </si>
  <si>
    <t>LCT794</t>
  </si>
  <si>
    <t>Bass_Drum</t>
  </si>
  <si>
    <t>Tom_Tom</t>
  </si>
  <si>
    <t>Floor_Tom</t>
  </si>
  <si>
    <t>lva_bdHoops</t>
  </si>
  <si>
    <t>Exists</t>
  </si>
  <si>
    <t>No Tom Holder / Bracket</t>
  </si>
  <si>
    <t>Single Tom Holder</t>
  </si>
  <si>
    <t>Double Tom Holder</t>
  </si>
  <si>
    <t>No Shell Mount</t>
  </si>
  <si>
    <t>Below is the validation list for PDC in snare options</t>
  </si>
  <si>
    <t>PDC</t>
  </si>
  <si>
    <t>Triple_Flange</t>
  </si>
  <si>
    <t>OAKSDCUSTOM</t>
  </si>
  <si>
    <t xml:space="preserve">B C E G </t>
  </si>
  <si>
    <t>Incomplete</t>
  </si>
  <si>
    <t>D3/D4 errors</t>
  </si>
  <si>
    <t>C7:G7 errors</t>
  </si>
  <si>
    <t>Details</t>
  </si>
  <si>
    <t>Any Errors at all</t>
  </si>
  <si>
    <t>Which named range to use is indexed from the list of finishes.</t>
  </si>
  <si>
    <t>Shell / Finish / Badge Error</t>
  </si>
  <si>
    <t>Type / Size / Hrdwr Error</t>
  </si>
  <si>
    <t>Detail Error</t>
  </si>
  <si>
    <t>0 if active row</t>
  </si>
  <si>
    <t>Large Gold Keystone</t>
  </si>
  <si>
    <t>Drum 3</t>
  </si>
  <si>
    <t>Drum 4</t>
  </si>
  <si>
    <t>Drum 5</t>
  </si>
  <si>
    <t>Drum 6</t>
  </si>
  <si>
    <t>Drum 7</t>
  </si>
  <si>
    <t>Drum 8</t>
  </si>
  <si>
    <t>Drum 9</t>
  </si>
  <si>
    <t>Drum 10</t>
  </si>
  <si>
    <t>Drum 11</t>
  </si>
  <si>
    <t>Drum 12</t>
  </si>
  <si>
    <t>Drum 13</t>
  </si>
  <si>
    <t>Tension Rods</t>
  </si>
  <si>
    <t>Z6 Birdseye Maple</t>
  </si>
  <si>
    <t>2P Blue Olive Oyster</t>
  </si>
  <si>
    <t>Z4 Bubinga Gloss</t>
  </si>
  <si>
    <t>B1 Bubinga, Nat/Mahogany Burst</t>
  </si>
  <si>
    <t>87 Classic Olive Pearl</t>
  </si>
  <si>
    <t xml:space="preserve">Z5 Fumed Eucalyptus </t>
  </si>
  <si>
    <t>MC Pure White Glass Glitter</t>
  </si>
  <si>
    <t>SP ShamPayne</t>
  </si>
  <si>
    <t>SK Smoke</t>
  </si>
  <si>
    <t>TW Tennessee Whiskey</t>
  </si>
  <si>
    <t>Standard Options:</t>
  </si>
  <si>
    <t>DR Diablo Red</t>
  </si>
  <si>
    <t>VB Vintage Bronze Mist</t>
  </si>
  <si>
    <t>SO Salmon Pearl (Disc)</t>
  </si>
  <si>
    <t>Pended Finishes, available While Supplies Last</t>
  </si>
  <si>
    <t>Found in List of Pended</t>
  </si>
  <si>
    <t>Incomplete Configuration</t>
  </si>
  <si>
    <t>Finish price is indexed here, based on Shell and finType</t>
  </si>
  <si>
    <t>Returns a 1 if "double" values exist, so then no "Single" option.</t>
  </si>
  <si>
    <t>Dbl/Sngl</t>
  </si>
  <si>
    <t>Fine tune the details here.</t>
  </si>
  <si>
    <t>Legacy Exotic V</t>
  </si>
  <si>
    <t>Edges Pricing Lookup</t>
  </si>
  <si>
    <t>Option Pricing</t>
  </si>
  <si>
    <t>Classic Maple Bass Wrap</t>
  </si>
  <si>
    <t>Classic Maple Floor Wrap</t>
  </si>
  <si>
    <t>Classic Maple Tom Wrap</t>
  </si>
  <si>
    <t>Classic Maple Snare Wrap</t>
  </si>
  <si>
    <t>Classic Maple Bass Veneer</t>
  </si>
  <si>
    <t>Classic Maple Floor Veneer</t>
  </si>
  <si>
    <t>Classic Maple Tom Veneer</t>
  </si>
  <si>
    <t>Classic Maple Snare Veneer</t>
  </si>
  <si>
    <t>Classic Maple Bass Lacquer</t>
  </si>
  <si>
    <t>Classic Maple Floor Lacquer</t>
  </si>
  <si>
    <t>Classic Maple Tom Lacquer</t>
  </si>
  <si>
    <t>Classic Maple Snare Lacquer</t>
  </si>
  <si>
    <t>Classic Maple Bass IO Veneer</t>
  </si>
  <si>
    <t>Classic Maple Floor IO Veneer</t>
  </si>
  <si>
    <t>Classic Maple Tom IO Veneer</t>
  </si>
  <si>
    <t>Classic Maple Snare IO Veneer</t>
  </si>
  <si>
    <t xml:space="preserve">  </t>
  </si>
  <si>
    <t>Legacy Maple Bass Wrap</t>
  </si>
  <si>
    <t>Legacy Maple Floor Wrap</t>
  </si>
  <si>
    <t>Legacy Maple Tom Wrap</t>
  </si>
  <si>
    <t>Legacy Maple Snare Wrap</t>
  </si>
  <si>
    <t>Legacy Mahogany Bass Wrap</t>
  </si>
  <si>
    <t>Legacy Mahogany Floor Wrap</t>
  </si>
  <si>
    <t>Legacy Mahogany Tom Wrap</t>
  </si>
  <si>
    <t>Legacy Mahogany Snare Wrap</t>
  </si>
  <si>
    <t>Legacy Mahogany Bass Lacquer</t>
  </si>
  <si>
    <t>Legacy Mahogany Floor Lacquer</t>
  </si>
  <si>
    <t>Legacy Mahogany Tom Lacquer</t>
  </si>
  <si>
    <t>Legacy Mahogany Snare Lacquer</t>
  </si>
  <si>
    <t>Legacy Exotic Bass Lacquer</t>
  </si>
  <si>
    <t>Legacy Exotic Floor Lacquer</t>
  </si>
  <si>
    <t>Legacy Exotic Tom Lacquer</t>
  </si>
  <si>
    <t>Legacy Exotic Snare Lacquer</t>
  </si>
  <si>
    <t>Legacy Exotic Bass Veneer</t>
  </si>
  <si>
    <t>Legacy Exotic Floor Veneer</t>
  </si>
  <si>
    <t>Legacy Exotic Tom Veneer</t>
  </si>
  <si>
    <t>Legacy Exotic Snare Veneer</t>
  </si>
  <si>
    <t>Classic Oak Bass Wrap</t>
  </si>
  <si>
    <t>Classic Oak Floor Wrap</t>
  </si>
  <si>
    <t>Classic Oak Tom Wrap</t>
  </si>
  <si>
    <t>Classic Oak Snare Wrap</t>
  </si>
  <si>
    <t>Classic Oak Bass Lacquer</t>
  </si>
  <si>
    <t>Classic Oak Floor Lacquer</t>
  </si>
  <si>
    <t>Classic Oak Tom Lacquer</t>
  </si>
  <si>
    <t>Classic Oak Snare Lacquer</t>
  </si>
  <si>
    <t>shell / Badge</t>
  </si>
  <si>
    <t>Badges</t>
  </si>
  <si>
    <t>Classic Maple Blue/Olive</t>
  </si>
  <si>
    <t>Classic Maple Large Gold Keystone</t>
  </si>
  <si>
    <t>Legacy Maple Blue/Olive</t>
  </si>
  <si>
    <t>Legacy Mahogany Blue/Olive</t>
  </si>
  <si>
    <t>Legacy Exotic Blue/Olive</t>
  </si>
  <si>
    <t>Disc</t>
  </si>
  <si>
    <t>Throwoff pricing</t>
  </si>
  <si>
    <t>Type / Lugs</t>
  </si>
  <si>
    <t>Bass Hoops</t>
  </si>
  <si>
    <t>Single Satin Natural w/Inlay</t>
  </si>
  <si>
    <t>Single Satin Sable</t>
  </si>
  <si>
    <t>Single Satin Natural</t>
  </si>
  <si>
    <t>Single Satin Sable w/Accent</t>
  </si>
  <si>
    <t>Single Satin Natural w/Accent</t>
  </si>
  <si>
    <t>Single Natural Hoop</t>
  </si>
  <si>
    <t>Single Natural w/Inlay</t>
  </si>
  <si>
    <t>Single Natural w/Accent</t>
  </si>
  <si>
    <t>Single Satin Sable w/Inlay</t>
  </si>
  <si>
    <t>Single Matching Hoop w/Inlay</t>
  </si>
  <si>
    <t>Double Satin Natural w/Inlay</t>
  </si>
  <si>
    <t>Double Satin Sable</t>
  </si>
  <si>
    <t>Double Satin Natural</t>
  </si>
  <si>
    <t>Double Satin Sable w/Accent</t>
  </si>
  <si>
    <t>Double Satin Natural w/Accent</t>
  </si>
  <si>
    <t>Double Natural Hoop</t>
  </si>
  <si>
    <t>Double Natural w/Inlay</t>
  </si>
  <si>
    <t>Double Natural w/Accent</t>
  </si>
  <si>
    <t>Double Satin Sable w/Inlay</t>
  </si>
  <si>
    <t>Double Matching Hoop w/Inlay</t>
  </si>
  <si>
    <t>Single or Double Head / Hoop</t>
  </si>
  <si>
    <t>Bass Drum Tension Screws</t>
  </si>
  <si>
    <t>T-handles</t>
  </si>
  <si>
    <t>DK3:DK5 is named range "Shell Mount"</t>
  </si>
  <si>
    <t>Pricing is moved to CC:CD</t>
  </si>
  <si>
    <t>Bearing Edges</t>
  </si>
  <si>
    <r>
      <rPr>
        <sz val="11"/>
        <color rgb="FF00B0F0"/>
        <rFont val="Calibri"/>
        <family val="2"/>
        <scheme val="minor"/>
      </rPr>
      <t>Outfitter</t>
    </r>
    <r>
      <rPr>
        <sz val="11"/>
        <color theme="1"/>
        <rFont val="Calibri"/>
        <family val="2"/>
        <scheme val="minor"/>
      </rPr>
      <t xml:space="preserve"> has Retail price</t>
    </r>
  </si>
  <si>
    <r>
      <rPr>
        <sz val="11"/>
        <color rgb="FF00B0F0"/>
        <rFont val="Calibri"/>
        <family val="2"/>
        <scheme val="minor"/>
      </rPr>
      <t>OutfitterM</t>
    </r>
    <r>
      <rPr>
        <sz val="11"/>
        <color theme="1"/>
        <rFont val="Calibri"/>
        <family val="2"/>
        <scheme val="minor"/>
      </rPr>
      <t xml:space="preserve"> has Retail and MAP</t>
    </r>
  </si>
  <si>
    <r>
      <rPr>
        <sz val="11"/>
        <color rgb="FF00B0F0"/>
        <rFont val="Calibri"/>
        <family val="2"/>
        <scheme val="minor"/>
      </rPr>
      <t>OutfitterNP</t>
    </r>
    <r>
      <rPr>
        <sz val="11"/>
        <color theme="1"/>
        <rFont val="Calibri"/>
        <family val="2"/>
        <scheme val="minor"/>
      </rPr>
      <t xml:space="preserve"> has no pricing. </t>
    </r>
  </si>
  <si>
    <t>Baseball Bat Tone Control</t>
  </si>
  <si>
    <t>This table used to index (find) item number based on shell and type.</t>
  </si>
  <si>
    <t>Start HERE   Select a shell, a finish and a badge.  Then spec out your Ludwig kit.</t>
  </si>
  <si>
    <t xml:space="preserve">Hide BTS Columns </t>
  </si>
  <si>
    <t>UnView Headers and formula bar</t>
  </si>
  <si>
    <t>Save as OutfitterM</t>
  </si>
  <si>
    <t>To create an "M" version (with MAP price):</t>
  </si>
  <si>
    <t>To create the Standard Version (retail only):</t>
  </si>
  <si>
    <t>Clear F5 and G5 (Map Pricing)</t>
  </si>
  <si>
    <t>Save as Outfitter</t>
  </si>
  <si>
    <t>To Create an "NP" verision (no pricing)</t>
  </si>
  <si>
    <t>Clear F4:G5 (Retail and MAP pricing)</t>
  </si>
  <si>
    <t>Move K7:K20 (phony Item #) left to H7:H20</t>
  </si>
  <si>
    <t>Clear Column CD (Option pricing)</t>
  </si>
  <si>
    <t>Save as OutfitterNP</t>
  </si>
  <si>
    <t>Clear selections from mainpage</t>
  </si>
  <si>
    <t>Classic Oak Classic Oak</t>
  </si>
  <si>
    <t>Classic Oak Blue/Olive</t>
  </si>
  <si>
    <t>Badge/</t>
  </si>
  <si>
    <t>ST</t>
  </si>
  <si>
    <t>TB</t>
  </si>
  <si>
    <t>PT</t>
  </si>
  <si>
    <t>MLLCLL</t>
  </si>
  <si>
    <t>MLLCLLLILT</t>
  </si>
  <si>
    <t>MLLCLLSIST</t>
  </si>
  <si>
    <t>PTTB</t>
  </si>
  <si>
    <t>SISTTB</t>
  </si>
  <si>
    <t>MLLTSISTTB</t>
  </si>
  <si>
    <t>MLSISTTB</t>
  </si>
  <si>
    <t>MLSI</t>
  </si>
  <si>
    <t>MLLTSI</t>
  </si>
  <si>
    <t>Piccolo Twin</t>
  </si>
  <si>
    <t>Snare Piccolo Twin</t>
  </si>
  <si>
    <t>WL</t>
  </si>
  <si>
    <t>Classic Maple Cast Brass</t>
  </si>
  <si>
    <t>Legacy Maple Cast Brass</t>
  </si>
  <si>
    <t>Legacy Mahogany Cast Brass</t>
  </si>
  <si>
    <t>Legacy Exotic Cast Brass</t>
  </si>
  <si>
    <t>Legacy Mahogany Sm Gold Keystone</t>
  </si>
  <si>
    <t>Legacy Exotic Sm Gold Keystone</t>
  </si>
  <si>
    <t>Sm Gold Keystone</t>
  </si>
  <si>
    <t>Legacy Maple Sm Gold Keystone</t>
  </si>
  <si>
    <t>Vibraband w/PLH1150</t>
  </si>
  <si>
    <t>Vibraband w/P1216D Brkt</t>
  </si>
  <si>
    <t>Vibraband w/P7202A Brkt</t>
  </si>
  <si>
    <t>No Mounting Bracket</t>
  </si>
  <si>
    <t>Less Mount and Holder</t>
  </si>
  <si>
    <t>6&amp;15 sizes, Mach Lugs</t>
  </si>
  <si>
    <t>Mach Lugs</t>
  </si>
  <si>
    <t>Common Sizes, Mach Lugs</t>
  </si>
  <si>
    <t>Bass Mach Lugs</t>
  </si>
  <si>
    <t>Mach Lugs == No Atlas Mount</t>
  </si>
  <si>
    <t>Floor Mach Lugs</t>
  </si>
  <si>
    <t>Tom Mach Lugs</t>
  </si>
  <si>
    <t>Clear D7:D20 (Base Price)</t>
  </si>
  <si>
    <t>Clear F7:F20 (Lugs Price)</t>
  </si>
  <si>
    <t>Clear L7:L20 (Drum Total)</t>
  </si>
  <si>
    <t>Resa-Cote</t>
  </si>
  <si>
    <t>To Create an "E" Version for Exp distributors to change pricing</t>
  </si>
  <si>
    <t>Hide Yellow BTS Columns</t>
  </si>
  <si>
    <t>Save as OutfitterE</t>
  </si>
  <si>
    <t>Change Rev date</t>
  </si>
  <si>
    <t>Clear F5:G5</t>
  </si>
  <si>
    <t>Four  versions for release</t>
  </si>
  <si>
    <t>OutfitterE</t>
  </si>
  <si>
    <t>Unlocked for Export</t>
  </si>
  <si>
    <t>Item #</t>
  </si>
  <si>
    <t>Retail</t>
  </si>
  <si>
    <t xml:space="preserve">This is copied in (manually) from item part inq pricing.  </t>
  </si>
  <si>
    <t>LB</t>
  </si>
  <si>
    <t>LF</t>
  </si>
  <si>
    <t>LB L8</t>
  </si>
  <si>
    <t>LF L8</t>
  </si>
  <si>
    <t>LT L8</t>
  </si>
  <si>
    <t>LS L8</t>
  </si>
  <si>
    <t>LB LL</t>
  </si>
  <si>
    <t>LF LL</t>
  </si>
  <si>
    <t>LT LL</t>
  </si>
  <si>
    <t>LS LL</t>
  </si>
  <si>
    <t>LB LX</t>
  </si>
  <si>
    <t>LF LX</t>
  </si>
  <si>
    <t>LT LX</t>
  </si>
  <si>
    <t>LS LX</t>
  </si>
  <si>
    <t>LB LM</t>
  </si>
  <si>
    <t>LF LM</t>
  </si>
  <si>
    <t>LT LM</t>
  </si>
  <si>
    <t>LS LM</t>
  </si>
  <si>
    <t>LB LO</t>
  </si>
  <si>
    <t>LF LO</t>
  </si>
  <si>
    <t>LT LO</t>
  </si>
  <si>
    <t>LS LO</t>
  </si>
  <si>
    <t>US/CAN1</t>
  </si>
  <si>
    <t>US/CAN2</t>
  </si>
  <si>
    <t>Discount Lookup</t>
  </si>
  <si>
    <t xml:space="preserve">Here's what happens:  </t>
  </si>
  <si>
    <t>Validate T-Handles</t>
  </si>
  <si>
    <t>1 if conflict.</t>
  </si>
  <si>
    <t>If this is &gt; 0, then no T-Handles</t>
  </si>
  <si>
    <t>Itm Retail</t>
  </si>
  <si>
    <t>Tom Tom Details</t>
  </si>
  <si>
    <t>Floor Tom Details</t>
  </si>
  <si>
    <t>Discount Calc</t>
  </si>
  <si>
    <t>Note to self: for the next generation of this order guide, let's put the print area just to the right of the block, then you can expand forever beyond that.  There's no harm in anyone seeing the print area.</t>
  </si>
  <si>
    <t>Now you get to create 5 versions of this thing for Tom to distribute.</t>
  </si>
  <si>
    <t xml:space="preserve">Create them from the "M" version with MAP appearing only when set to RETAIL. </t>
  </si>
  <si>
    <t xml:space="preserve">I've tested the Block against several customer orders and matched to the penny every time. </t>
  </si>
  <si>
    <t xml:space="preserve">All drum and option prices in columns BW thru CD are in retail.  That's true to the configurator. </t>
  </si>
  <si>
    <t xml:space="preserve">This isn't strictly the way the configurator actually does it, but the advantage is that it shows dealer net pricing FOR EACH OPTION along the way.  </t>
  </si>
  <si>
    <t>You can get all of this from Infor / Item Part Inquiry, dvo Pricing view.</t>
  </si>
  <si>
    <t xml:space="preserve">In rows 8-20, columns D, F, H and I index retail pricing for the size, Lugs, mounts and finish, then wash them through the net and retail (columns P&amp;Q) to present a dealer price. </t>
  </si>
  <si>
    <t xml:space="preserve">Cell L1 is a validation list of discount levels, and that triggers columns P&amp;Q to call up Net and Retaill pricing for the appropriate configured item number from the pricing block above. </t>
  </si>
  <si>
    <t>I messed up a little on finish price, I used the same values for LX V and LX IOV.</t>
  </si>
  <si>
    <t>Bass Mach Lug</t>
  </si>
  <si>
    <t>FloorMach Lug</t>
  </si>
  <si>
    <t>Tom Mach Lug</t>
  </si>
  <si>
    <t>5.5x14 Snare</t>
  </si>
  <si>
    <t>5.5x14 8 Lug Snare</t>
  </si>
  <si>
    <t>5H_14S</t>
  </si>
  <si>
    <t>5H_14x8S</t>
  </si>
  <si>
    <t>This is copied from prd_size in CPT_COMP_Drums.  The formula in BV4:CA81 does the rest.  You must have the effective date in BV1.</t>
  </si>
  <si>
    <t xml:space="preserve">The formula in BV4:CA81 gives the retail from below. Discounting is done back on the "home page". </t>
  </si>
  <si>
    <t>matching</t>
  </si>
  <si>
    <t>Last Line</t>
  </si>
  <si>
    <t>New Last Line</t>
  </si>
  <si>
    <t>LS405</t>
  </si>
  <si>
    <t>LLS305</t>
  </si>
  <si>
    <t>LLS405</t>
  </si>
  <si>
    <t>LLS505</t>
  </si>
  <si>
    <t>LS705</t>
  </si>
  <si>
    <t>Snare Bed</t>
  </si>
  <si>
    <t>LAP2984MT Atlas Double</t>
  </si>
  <si>
    <t>LAP2985MT Atlas Single</t>
  </si>
  <si>
    <t>LAC2983MT Atlas Arch Single</t>
  </si>
  <si>
    <t>LR2991MT Elite Single Tom Holder</t>
  </si>
  <si>
    <t>LR2992MT Classic Double Tom Holder</t>
  </si>
  <si>
    <t>LR2981MT Rocker Single Tom Holder</t>
  </si>
  <si>
    <t>LR2980MT Rocker Double Tom Holder</t>
  </si>
  <si>
    <t>P7184A Elite Bass Casting</t>
  </si>
  <si>
    <t>P1610D Ludwig Bass Casting</t>
  </si>
  <si>
    <t>PM0062 Atlas Bass Casting</t>
  </si>
  <si>
    <t xml:space="preserve">June 2020, Export Level 1 was changed from [Export Level 2 + 7%] to [Export Level 2 + 25%].  </t>
  </si>
  <si>
    <t xml:space="preserve">Export Level 2 will now only be used for Thomann over in Europe.  A dealer who better buy a bunch of stuff. </t>
  </si>
  <si>
    <t>Everything on the block washes through net and retail from columns P&amp;Q, so mind your…. Well, you know …</t>
  </si>
  <si>
    <t>Phonic</t>
  </si>
  <si>
    <t>36 Olive Sparkle (Disc)</t>
  </si>
  <si>
    <t>Drum Type</t>
  </si>
  <si>
    <t>Size Class</t>
  </si>
  <si>
    <t>Lug Type</t>
  </si>
  <si>
    <t>Double Single</t>
  </si>
  <si>
    <t>Lug Choices</t>
  </si>
  <si>
    <t>Spur Choices</t>
  </si>
  <si>
    <t>In this order</t>
  </si>
  <si>
    <t>for Spurs</t>
  </si>
  <si>
    <t>Heads</t>
  </si>
  <si>
    <t>Default Spur</t>
  </si>
  <si>
    <t>Lug type</t>
  </si>
  <si>
    <t>Single or Double</t>
  </si>
  <si>
    <t>Spurs_AECFN</t>
  </si>
  <si>
    <t>Spurs_ECFN</t>
  </si>
  <si>
    <t>Spurs_FN</t>
  </si>
  <si>
    <t>Spurs_AEFN</t>
  </si>
  <si>
    <t>Spurs_EFN</t>
  </si>
  <si>
    <t>Default Value</t>
  </si>
  <si>
    <t>Use this Named Range</t>
  </si>
  <si>
    <t>Curved Spurs</t>
  </si>
  <si>
    <t>Vintage '63</t>
  </si>
  <si>
    <t>Shark Bite Snare Bed only available on 5H_14x8S size.</t>
  </si>
  <si>
    <t xml:space="preserve">Exists if 5H_14x8S is chosen and NO OTHER snare sizes are chosen. </t>
  </si>
  <si>
    <t>Total Other Snares</t>
  </si>
  <si>
    <t>Snare Bed Exists</t>
  </si>
  <si>
    <t>Named Ranges</t>
  </si>
  <si>
    <t>sdBedChoice</t>
  </si>
  <si>
    <t>sdBedNoChoice</t>
  </si>
  <si>
    <t>Use this named range:</t>
  </si>
  <si>
    <t>Clear H6:J20 (Mounts, Finish &amp; Details Price)</t>
  </si>
  <si>
    <t>Clear H22:H50 (Details Pricing)</t>
  </si>
  <si>
    <t>Move I22:I50 (Warnings) left to H22:H50.</t>
  </si>
  <si>
    <t>Clear GF1</t>
  </si>
  <si>
    <t>Clear GD32:GQ32 (Drum totals on print area)</t>
  </si>
  <si>
    <t>L1 White Font / protect sheet</t>
  </si>
  <si>
    <t>Save</t>
  </si>
  <si>
    <t>Clear S26:T67</t>
  </si>
  <si>
    <t xml:space="preserve">Next question: Could I do dated pricing here?  </t>
  </si>
  <si>
    <t>Probably could, here's the question: Why would you want to??</t>
  </si>
  <si>
    <t>Exp1</t>
  </si>
  <si>
    <t>Exp2</t>
  </si>
  <si>
    <t>Exp3</t>
  </si>
  <si>
    <t>No change</t>
  </si>
  <si>
    <t>EXP1</t>
  </si>
  <si>
    <t>EXP2</t>
  </si>
  <si>
    <t>EXP3</t>
  </si>
  <si>
    <t>Heavy Coated</t>
  </si>
  <si>
    <t>Clear BW3:CA500 and CH108:CM1000 (Pricing data)</t>
  </si>
  <si>
    <t>Disco March of 2021</t>
  </si>
  <si>
    <t>rev 3/23/21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</si>
</sst>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00"/>
    <numFmt numFmtId="166" formatCode="0.00000"/>
  </numFmts>
  <fonts count="44"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theme="0" tint="-0.249977111117893"/>
      <name val="Calibri"/>
      <family val="2"/>
      <scheme val="minor"/>
    </font>
    <font>
      <b/>
      <sz val="11"/>
      <name val="Calibri"/>
      <family val="2"/>
      <scheme val="minor"/>
    </font>
    <font>
      <sz val="10"/>
      <color rgb="FFFF0000"/>
      <name val="Calibri"/>
      <family val="2"/>
      <scheme val="minor"/>
    </font>
    <font>
      <sz val="11"/>
      <color rgb="FF00B050"/>
      <name val="Calibri"/>
      <family val="2"/>
      <scheme val="minor"/>
    </font>
    <font>
      <b/>
      <sz val="11"/>
      <color rgb="FFFF0000"/>
      <name val="Calibri"/>
      <family val="2"/>
      <scheme val="minor"/>
    </font>
    <font>
      <sz val="10"/>
      <color theme="1"/>
      <name val="Calibri"/>
      <family val="2"/>
      <scheme val="minor"/>
    </font>
    <font>
      <sz val="11"/>
      <color rgb="FF00B0F0"/>
      <name val="Calibri"/>
      <family val="2"/>
      <scheme val="minor"/>
    </font>
    <font>
      <sz val="10"/>
      <name val="Arial"/>
      <family val="2"/>
    </font>
    <font>
      <sz val="10"/>
      <name val="Tahoma"/>
      <family val="2"/>
    </font>
    <font>
      <sz val="10"/>
      <color rgb="FFFF0000"/>
      <name val="Arial"/>
      <family val="2"/>
    </font>
    <font>
      <sz val="11"/>
      <color theme="0"/>
      <name val="Calibri"/>
      <family val="2"/>
      <scheme val="minor"/>
    </font>
    <font>
      <sz val="10"/>
      <color rgb="FF00B050"/>
      <name val="Arial"/>
      <family val="2"/>
    </font>
    <font>
      <b/>
      <sz val="12"/>
      <color theme="1"/>
      <name val="Calibri"/>
      <family val="2"/>
      <scheme val="minor"/>
    </font>
    <font>
      <b/>
      <sz val="11"/>
      <color rgb="FF00B050"/>
      <name val="Calibri"/>
      <family val="2"/>
      <scheme val="minor"/>
    </font>
    <font>
      <sz val="12"/>
      <color theme="1"/>
      <name val="Calibri"/>
      <family val="2"/>
      <scheme val="minor"/>
    </font>
    <font>
      <sz val="10"/>
      <color rgb="FF0A0101"/>
      <name val="Helvetica"/>
      <family val="2"/>
    </font>
    <font>
      <sz val="10"/>
      <color rgb="FF00B050"/>
      <name val="Calibri"/>
      <family val="2"/>
      <scheme val="minor"/>
    </font>
    <font>
      <sz val="11"/>
      <color rgb="FF7030A0"/>
      <name val="Calibri"/>
      <family val="2"/>
      <scheme val="minor"/>
    </font>
    <font>
      <sz val="14"/>
      <color rgb="FF00B0F0"/>
      <name val="Calibri"/>
      <family val="2"/>
      <scheme val="minor"/>
    </font>
    <font>
      <sz val="26"/>
      <color theme="1"/>
      <name val="Calibri"/>
      <family val="2"/>
      <scheme val="minor"/>
    </font>
    <font>
      <sz val="10"/>
      <color rgb="FFFF0000"/>
      <name val="Tahoma"/>
      <family val="2"/>
    </font>
    <font>
      <sz val="10"/>
      <color rgb="FF7030A0"/>
      <name val="Calibri"/>
      <family val="2"/>
      <scheme val="minor"/>
    </font>
    <font>
      <b/>
      <sz val="11"/>
      <color theme="0"/>
      <name val="Calibri"/>
      <family val="2"/>
      <scheme val="minor"/>
    </font>
    <font>
      <b/>
      <sz val="12"/>
      <color rgb="FFFF0000"/>
      <name val="Calibri"/>
      <family val="2"/>
      <scheme val="minor"/>
    </font>
    <font>
      <sz val="10"/>
      <color theme="0" tint="-0.249977111117893"/>
      <name val="Tahoma"/>
      <family val="2"/>
    </font>
    <font>
      <sz val="10"/>
      <color theme="0"/>
      <name val="Arial"/>
      <family val="2"/>
    </font>
    <font>
      <sz val="9"/>
      <color rgb="FF141414"/>
      <name val="Segoe UI"/>
      <family val="2"/>
    </font>
    <font>
      <sz val="10"/>
      <color rgb="FF7030A0"/>
      <name val="Arial"/>
      <family val="2"/>
    </font>
    <font>
      <sz val="10"/>
      <color theme="9" tint="-0.249977111117893"/>
      <name val="Arial"/>
      <family val="2"/>
    </font>
    <font>
      <b/>
      <sz val="14"/>
      <color theme="1"/>
      <name val="Calibri"/>
      <family val="2"/>
      <scheme val="minor"/>
    </font>
    <font>
      <sz val="10"/>
      <name val="Calibri"/>
      <family val="2"/>
      <scheme val="minor"/>
    </font>
    <font>
      <b/>
      <sz val="11"/>
      <color rgb="FF00B0F0"/>
      <name val="Calibri"/>
      <family val="2"/>
      <scheme val="minor"/>
    </font>
    <font>
      <b/>
      <sz val="11"/>
      <color rgb="FF00B0F0"/>
      <name val="Arial"/>
      <family val="2"/>
    </font>
    <font>
      <sz val="8"/>
      <color rgb="FF7030A0"/>
      <name val="Calibri"/>
      <family val="2"/>
      <scheme val="minor"/>
    </font>
    <font>
      <b/>
      <sz val="12"/>
      <name val="Calibri"/>
      <family val="2"/>
      <scheme val="minor"/>
    </font>
    <font>
      <sz val="16"/>
      <color theme="1"/>
      <name val="Calibri"/>
      <family val="2"/>
      <scheme val="minor"/>
    </font>
    <font>
      <sz val="11"/>
      <color theme="5"/>
      <name val="Calibri"/>
      <family val="2"/>
      <scheme val="minor"/>
    </font>
    <font>
      <sz val="22"/>
      <color theme="1"/>
      <name val="Calibri"/>
      <family val="2"/>
      <scheme val="minor"/>
    </font>
    <font>
      <b/>
      <sz val="11"/>
      <color rgb="FF0070C0"/>
      <name val="Calibri"/>
      <family val="2"/>
      <scheme val="minor"/>
    </font>
    <font>
      <sz val="11"/>
      <color rgb="FF0070C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0000"/>
        <bgColor indexed="64"/>
      </patternFill>
    </fill>
  </fills>
  <borders count="2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right style="medium">
        <color auto="1"/>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373">
    <xf numFmtId="0" fontId="0" fillId="0" borderId="0" xfId="0"/>
    <xf numFmtId="0" fontId="3" fillId="0" borderId="0" xfId="0" applyNumberFormat="1" applyFont="1" applyFill="1" applyBorder="1" applyAlignment="1">
      <alignment horizontal="left"/>
    </xf>
    <xf numFmtId="0" fontId="3" fillId="0" borderId="0" xfId="0" applyFont="1" applyFill="1" applyAlignment="1">
      <alignment horizontal="left"/>
    </xf>
    <xf numFmtId="0" fontId="3" fillId="0" borderId="0" xfId="0" applyFont="1" applyFill="1" applyAlignment="1" applyProtection="1">
      <alignment horizontal="left"/>
    </xf>
    <xf numFmtId="0" fontId="3" fillId="0" borderId="0" xfId="0" applyFont="1" applyFill="1" applyBorder="1" applyAlignment="1">
      <alignment horizontal="left"/>
    </xf>
    <xf numFmtId="0" fontId="3" fillId="0" borderId="0" xfId="0" applyFont="1" applyFill="1" applyBorder="1" applyAlignment="1" applyProtection="1">
      <alignment horizontal="left"/>
    </xf>
    <xf numFmtId="0" fontId="2" fillId="0" borderId="0" xfId="0" applyFont="1"/>
    <xf numFmtId="0" fontId="5" fillId="0" borderId="0" xfId="0" applyNumberFormat="1" applyFont="1" applyFill="1" applyBorder="1" applyAlignment="1">
      <alignment horizontal="left"/>
    </xf>
    <xf numFmtId="0" fontId="0" fillId="0" borderId="0" xfId="0" applyFont="1"/>
    <xf numFmtId="0" fontId="3" fillId="0" borderId="0" xfId="0" applyFont="1" applyFill="1"/>
    <xf numFmtId="0" fontId="3" fillId="0" borderId="0" xfId="0" applyFont="1" applyFill="1" applyProtection="1"/>
    <xf numFmtId="0" fontId="5" fillId="0" borderId="0" xfId="0" applyFont="1" applyFill="1" applyBorder="1"/>
    <xf numFmtId="0" fontId="3" fillId="0" borderId="0" xfId="0" applyFont="1" applyFill="1" applyBorder="1"/>
    <xf numFmtId="0" fontId="4" fillId="0" borderId="0" xfId="0" applyFont="1" applyAlignment="1">
      <alignment horizontal="left"/>
    </xf>
    <xf numFmtId="0" fontId="0" fillId="0" borderId="0" xfId="0" applyAlignment="1">
      <alignment horizontal="left"/>
    </xf>
    <xf numFmtId="0" fontId="1" fillId="0" borderId="0" xfId="0" applyFont="1" applyAlignment="1">
      <alignment horizontal="right"/>
    </xf>
    <xf numFmtId="0" fontId="6" fillId="0" borderId="0" xfId="0" applyFont="1"/>
    <xf numFmtId="0" fontId="6" fillId="0" borderId="0" xfId="0" applyFont="1" applyBorder="1"/>
    <xf numFmtId="0" fontId="4" fillId="0" borderId="0" xfId="0" applyFont="1" applyBorder="1" applyAlignment="1">
      <alignment horizontal="left"/>
    </xf>
    <xf numFmtId="0" fontId="0" fillId="0" borderId="0" xfId="0" applyBorder="1"/>
    <xf numFmtId="0" fontId="7" fillId="0" borderId="0" xfId="0" applyFont="1" applyFill="1"/>
    <xf numFmtId="0" fontId="7" fillId="0" borderId="0" xfId="0" applyFont="1" applyFill="1" applyBorder="1"/>
    <xf numFmtId="0" fontId="1" fillId="0" borderId="0" xfId="0" applyFont="1"/>
    <xf numFmtId="0" fontId="8" fillId="0" borderId="0" xfId="0" applyFont="1"/>
    <xf numFmtId="0" fontId="0" fillId="0" borderId="0" xfId="0" applyAlignment="1">
      <alignment horizontal="center"/>
    </xf>
    <xf numFmtId="0" fontId="0" fillId="0" borderId="0" xfId="0" applyAlignment="1">
      <alignment horizontal="right"/>
    </xf>
    <xf numFmtId="0" fontId="1" fillId="0" borderId="0" xfId="0" applyFont="1" applyAlignment="1">
      <alignment horizontal="center"/>
    </xf>
    <xf numFmtId="0" fontId="4" fillId="0" borderId="0" xfId="0" applyFont="1"/>
    <xf numFmtId="0" fontId="4" fillId="0" borderId="0" xfId="0" applyNumberFormat="1" applyFont="1" applyFill="1" applyBorder="1" applyAlignment="1">
      <alignment horizontal="left"/>
    </xf>
    <xf numFmtId="0" fontId="0" fillId="0" borderId="0" xfId="0" applyFont="1" applyFill="1"/>
    <xf numFmtId="0" fontId="9" fillId="0" borderId="0" xfId="0" applyFont="1" applyFill="1" applyProtection="1"/>
    <xf numFmtId="0" fontId="7" fillId="0" borderId="0" xfId="0" applyFont="1"/>
    <xf numFmtId="0" fontId="11" fillId="0" borderId="0" xfId="0" applyFont="1" applyFill="1" applyBorder="1" applyAlignment="1">
      <alignment horizontal="center"/>
    </xf>
    <xf numFmtId="49" fontId="11" fillId="0" borderId="0" xfId="0" applyNumberFormat="1" applyFont="1" applyFill="1" applyBorder="1" applyAlignment="1">
      <alignment horizontal="center"/>
    </xf>
    <xf numFmtId="0" fontId="12" fillId="0" borderId="0" xfId="0" applyFont="1" applyFill="1" applyBorder="1" applyAlignment="1">
      <alignment horizontal="center"/>
    </xf>
    <xf numFmtId="0" fontId="0" fillId="0" borderId="0" xfId="0" applyFill="1" applyBorder="1"/>
    <xf numFmtId="49" fontId="12" fillId="0" borderId="0" xfId="0" applyNumberFormat="1" applyFont="1" applyFill="1" applyBorder="1" applyAlignment="1">
      <alignment horizontal="center"/>
    </xf>
    <xf numFmtId="49" fontId="11" fillId="0" borderId="0" xfId="0" applyNumberFormat="1" applyFont="1" applyBorder="1" applyAlignment="1">
      <alignment horizontal="center"/>
    </xf>
    <xf numFmtId="0" fontId="11" fillId="0" borderId="0" xfId="0" applyFont="1" applyBorder="1" applyAlignment="1">
      <alignment horizontal="center"/>
    </xf>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1" fillId="0" borderId="0" xfId="0" applyFont="1" applyFill="1" applyBorder="1" applyAlignment="1">
      <alignment horizontal="left"/>
    </xf>
    <xf numFmtId="0" fontId="0" fillId="3" borderId="0" xfId="0" applyFill="1" applyAlignment="1">
      <alignment horizontal="center"/>
    </xf>
    <xf numFmtId="0" fontId="3" fillId="0" borderId="0" xfId="0" applyFont="1"/>
    <xf numFmtId="0" fontId="1" fillId="0" borderId="0" xfId="0" applyFont="1" applyFill="1" applyBorder="1"/>
    <xf numFmtId="0" fontId="15" fillId="0" borderId="0" xfId="0" applyFont="1" applyFill="1" applyBorder="1" applyAlignment="1">
      <alignment horizontal="left"/>
    </xf>
    <xf numFmtId="0" fontId="4" fillId="0" borderId="0" xfId="0" applyFont="1" applyAlignment="1">
      <alignment horizontal="right"/>
    </xf>
    <xf numFmtId="0" fontId="14" fillId="0" borderId="0" xfId="0" applyFont="1" applyAlignment="1">
      <alignment horizontal="right"/>
    </xf>
    <xf numFmtId="0" fontId="14" fillId="0" borderId="0" xfId="0" applyFont="1"/>
    <xf numFmtId="0" fontId="2" fillId="0" borderId="0" xfId="0" applyFont="1" applyAlignment="1">
      <alignment horizontal="center"/>
    </xf>
    <xf numFmtId="0" fontId="1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Border="1"/>
    <xf numFmtId="0" fontId="12" fillId="0" borderId="0" xfId="0" applyFont="1" applyFill="1" applyBorder="1" applyAlignment="1">
      <alignment horizontal="left"/>
    </xf>
    <xf numFmtId="49" fontId="0" fillId="0" borderId="0" xfId="0" applyNumberFormat="1" applyBorder="1"/>
    <xf numFmtId="164" fontId="1" fillId="0" borderId="0" xfId="0" applyNumberFormat="1" applyFont="1" applyBorder="1"/>
    <xf numFmtId="0" fontId="0" fillId="0" borderId="5" xfId="0" applyBorder="1"/>
    <xf numFmtId="0" fontId="0" fillId="0" borderId="6" xfId="0" applyBorder="1"/>
    <xf numFmtId="164" fontId="1" fillId="0" borderId="6" xfId="0" applyNumberFormat="1" applyFont="1" applyBorder="1"/>
    <xf numFmtId="0" fontId="0" fillId="0" borderId="7" xfId="0" applyBorder="1"/>
    <xf numFmtId="0" fontId="0" fillId="0" borderId="2" xfId="0" applyBorder="1" applyAlignment="1">
      <alignment horizontal="center"/>
    </xf>
    <xf numFmtId="0" fontId="0" fillId="0" borderId="2" xfId="0" applyFill="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0" fillId="0" borderId="0" xfId="0" applyBorder="1" applyAlignment="1">
      <alignment horizontal="center"/>
    </xf>
    <xf numFmtId="0" fontId="3" fillId="0" borderId="0" xfId="0" applyFont="1" applyFill="1" applyBorder="1" applyAlignment="1">
      <alignment horizontal="center"/>
    </xf>
    <xf numFmtId="0" fontId="4" fillId="0" borderId="0" xfId="0" applyFont="1" applyAlignment="1">
      <alignment horizontal="center"/>
    </xf>
    <xf numFmtId="0" fontId="8" fillId="0" borderId="4" xfId="0" applyFont="1" applyFill="1" applyBorder="1" applyAlignment="1">
      <alignment horizontal="right"/>
    </xf>
    <xf numFmtId="0" fontId="1" fillId="0" borderId="8" xfId="0" applyFont="1" applyBorder="1" applyAlignment="1">
      <alignment horizontal="center"/>
    </xf>
    <xf numFmtId="0" fontId="11" fillId="0" borderId="0" xfId="0" applyFont="1" applyFill="1" applyBorder="1" applyAlignment="1">
      <alignment horizontal="right"/>
    </xf>
    <xf numFmtId="0" fontId="0" fillId="0" borderId="3" xfId="0" applyBorder="1" applyAlignment="1">
      <alignment horizontal="center"/>
    </xf>
    <xf numFmtId="0" fontId="2" fillId="0" borderId="10" xfId="0" applyFont="1" applyBorder="1" applyAlignment="1">
      <alignment horizontal="center"/>
    </xf>
    <xf numFmtId="0" fontId="2" fillId="0" borderId="0" xfId="0" applyFont="1" applyBorder="1" applyAlignment="1">
      <alignment horizontal="center"/>
    </xf>
    <xf numFmtId="0" fontId="0" fillId="0" borderId="11" xfId="0" applyBorder="1"/>
    <xf numFmtId="0" fontId="0" fillId="0" borderId="12" xfId="0" applyBorder="1"/>
    <xf numFmtId="164" fontId="7" fillId="0" borderId="0" xfId="0" applyNumberFormat="1" applyFont="1" applyAlignment="1">
      <alignment horizontal="center"/>
    </xf>
    <xf numFmtId="0" fontId="17" fillId="0" borderId="0" xfId="0" applyFont="1" applyAlignment="1">
      <alignment horizontal="center"/>
    </xf>
    <xf numFmtId="0" fontId="7" fillId="0" borderId="0" xfId="0" applyFont="1" applyAlignment="1">
      <alignment horizontal="right"/>
    </xf>
    <xf numFmtId="0" fontId="3" fillId="0" borderId="0" xfId="0" applyFont="1" applyAlignment="1">
      <alignment horizontal="right"/>
    </xf>
    <xf numFmtId="0" fontId="7" fillId="0" borderId="0" xfId="0" applyFont="1" applyAlignment="1">
      <alignment horizontal="left"/>
    </xf>
    <xf numFmtId="0" fontId="0" fillId="0" borderId="0" xfId="0" applyFill="1" applyAlignment="1">
      <alignment horizontal="center"/>
    </xf>
    <xf numFmtId="0" fontId="14" fillId="0" borderId="0" xfId="0" applyFont="1" applyAlignment="1">
      <alignment horizontal="center"/>
    </xf>
    <xf numFmtId="0" fontId="18" fillId="0" borderId="0" xfId="0" applyFont="1" applyAlignment="1">
      <alignment horizontal="right"/>
    </xf>
    <xf numFmtId="0" fontId="0" fillId="0" borderId="14" xfId="0" applyBorder="1" applyAlignment="1">
      <alignment horizontal="right"/>
    </xf>
    <xf numFmtId="0" fontId="0" fillId="0" borderId="15" xfId="0" applyBorder="1" applyAlignment="1">
      <alignment horizontal="center"/>
    </xf>
    <xf numFmtId="0" fontId="19" fillId="0" borderId="0" xfId="0" applyFont="1"/>
    <xf numFmtId="0" fontId="0" fillId="0" borderId="16" xfId="0" applyBorder="1" applyAlignment="1">
      <alignment horizontal="center"/>
    </xf>
    <xf numFmtId="0" fontId="0" fillId="0" borderId="0" xfId="0" applyAlignment="1">
      <alignment horizontal="left" vertical="center" wrapText="1"/>
    </xf>
    <xf numFmtId="0" fontId="0" fillId="0" borderId="17" xfId="0" applyBorder="1" applyAlignment="1">
      <alignment horizontal="center"/>
    </xf>
    <xf numFmtId="0" fontId="0" fillId="2" borderId="1" xfId="0" applyFill="1" applyBorder="1" applyProtection="1">
      <protection locked="0"/>
    </xf>
    <xf numFmtId="0" fontId="7" fillId="0" borderId="0" xfId="0" applyFont="1" applyAlignment="1">
      <alignment horizontal="center"/>
    </xf>
    <xf numFmtId="0" fontId="20" fillId="0" borderId="0" xfId="0" applyFont="1" applyFill="1" applyProtection="1"/>
    <xf numFmtId="0" fontId="15" fillId="0" borderId="0" xfId="0" applyFont="1" applyFill="1" applyBorder="1" applyAlignment="1">
      <alignment vertical="center"/>
    </xf>
    <xf numFmtId="0" fontId="10" fillId="0" borderId="0" xfId="0" applyFont="1" applyFill="1" applyBorder="1"/>
    <xf numFmtId="0" fontId="20" fillId="0" borderId="0" xfId="0" applyFont="1" applyAlignment="1">
      <alignment horizontal="center"/>
    </xf>
    <xf numFmtId="0" fontId="20" fillId="0" borderId="0" xfId="0" applyFont="1" applyBorder="1" applyAlignment="1">
      <alignment horizontal="center"/>
    </xf>
    <xf numFmtId="0" fontId="21" fillId="0" borderId="0" xfId="0" applyFont="1" applyFill="1" applyBorder="1"/>
    <xf numFmtId="0" fontId="21" fillId="0" borderId="0" xfId="0" applyFont="1"/>
    <xf numFmtId="0" fontId="20" fillId="0" borderId="0" xfId="0" applyFont="1"/>
    <xf numFmtId="0" fontId="20" fillId="0" borderId="0" xfId="0" applyFont="1" applyBorder="1"/>
    <xf numFmtId="0" fontId="21" fillId="0" borderId="0" xfId="0" applyFont="1" applyBorder="1"/>
    <xf numFmtId="0" fontId="21" fillId="0" borderId="0" xfId="0" applyFont="1" applyFill="1"/>
    <xf numFmtId="0" fontId="10" fillId="0" borderId="0" xfId="0" applyFont="1" applyBorder="1"/>
    <xf numFmtId="0" fontId="22" fillId="0" borderId="0" xfId="0" applyFont="1" applyAlignment="1">
      <alignment horizontal="left" vertical="center"/>
    </xf>
    <xf numFmtId="0" fontId="0" fillId="0" borderId="16" xfId="0" applyFill="1" applyBorder="1" applyAlignment="1">
      <alignment horizontal="center"/>
    </xf>
    <xf numFmtId="0" fontId="0" fillId="0" borderId="5" xfId="0" applyFill="1" applyBorder="1" applyAlignment="1">
      <alignment horizontal="center"/>
    </xf>
    <xf numFmtId="0" fontId="16" fillId="0" borderId="0" xfId="0" applyFont="1" applyAlignment="1">
      <alignment horizontal="center"/>
    </xf>
    <xf numFmtId="0" fontId="0" fillId="0" borderId="0" xfId="0" applyFill="1"/>
    <xf numFmtId="0" fontId="13" fillId="0" borderId="0" xfId="0" applyFont="1" applyFill="1" applyBorder="1" applyAlignment="1">
      <alignment horizontal="left"/>
    </xf>
    <xf numFmtId="0" fontId="0" fillId="0" borderId="0" xfId="0" applyAlignment="1">
      <alignment vertical="center" wrapText="1"/>
    </xf>
    <xf numFmtId="0" fontId="14" fillId="0" borderId="11" xfId="0" applyFont="1" applyBorder="1" applyAlignment="1">
      <alignment horizontal="left"/>
    </xf>
    <xf numFmtId="0" fontId="14" fillId="0" borderId="12" xfId="0" applyFont="1" applyBorder="1"/>
    <xf numFmtId="16" fontId="14" fillId="0" borderId="0" xfId="0" applyNumberFormat="1" applyFont="1"/>
    <xf numFmtId="0" fontId="21" fillId="0" borderId="0" xfId="0" applyFont="1" applyAlignment="1">
      <alignment horizontal="center"/>
    </xf>
    <xf numFmtId="0" fontId="0" fillId="3" borderId="0" xfId="0" applyFill="1"/>
    <xf numFmtId="0" fontId="3" fillId="3" borderId="0" xfId="0" applyFont="1" applyFill="1" applyBorder="1"/>
    <xf numFmtId="0" fontId="4" fillId="3" borderId="0" xfId="0" applyFont="1" applyFill="1"/>
    <xf numFmtId="0" fontId="7" fillId="3" borderId="0" xfId="0" applyFont="1" applyFill="1"/>
    <xf numFmtId="0" fontId="1" fillId="3" borderId="0" xfId="0" applyFont="1" applyFill="1" applyBorder="1" applyAlignment="1">
      <alignment vertical="center"/>
    </xf>
    <xf numFmtId="0" fontId="0" fillId="3" borderId="0" xfId="0" applyFill="1" applyBorder="1"/>
    <xf numFmtId="0" fontId="23" fillId="3" borderId="0" xfId="0" applyFont="1" applyFill="1" applyAlignment="1">
      <alignment horizontal="left"/>
    </xf>
    <xf numFmtId="0" fontId="23" fillId="3" borderId="0" xfId="0" applyFont="1" applyFill="1"/>
    <xf numFmtId="0" fontId="23" fillId="3" borderId="0" xfId="0" applyFont="1" applyFill="1" applyBorder="1"/>
    <xf numFmtId="0" fontId="0" fillId="0" borderId="16" xfId="0" applyBorder="1" applyAlignment="1">
      <alignment horizontal="center" shrinkToFit="1"/>
    </xf>
    <xf numFmtId="0" fontId="0" fillId="0" borderId="17" xfId="0" applyBorder="1" applyAlignment="1">
      <alignment horizontal="center" shrinkToFit="1"/>
    </xf>
    <xf numFmtId="0" fontId="0" fillId="0" borderId="0" xfId="0" applyAlignment="1"/>
    <xf numFmtId="0" fontId="10" fillId="0" borderId="0" xfId="0" applyFont="1" applyAlignment="1">
      <alignment horizontal="center"/>
    </xf>
    <xf numFmtId="0" fontId="10" fillId="0" borderId="0" xfId="0" applyFont="1" applyFill="1" applyBorder="1" applyAlignment="1">
      <alignment horizontal="center"/>
    </xf>
    <xf numFmtId="0" fontId="24" fillId="0" borderId="0" xfId="0" applyFont="1" applyFill="1" applyBorder="1" applyAlignment="1">
      <alignment horizontal="center"/>
    </xf>
    <xf numFmtId="0" fontId="0" fillId="3" borderId="0" xfId="0" applyFill="1" applyAlignment="1">
      <alignment horizontal="center" vertical="center" wrapText="1"/>
    </xf>
    <xf numFmtId="0" fontId="25" fillId="0" borderId="0" xfId="0" applyFont="1" applyAlignment="1">
      <alignment horizontal="center"/>
    </xf>
    <xf numFmtId="0" fontId="4" fillId="0" borderId="0" xfId="0" applyNumberFormat="1" applyFont="1" applyFill="1" applyBorder="1" applyAlignment="1">
      <alignment horizontal="right"/>
    </xf>
    <xf numFmtId="0" fontId="4" fillId="0" borderId="0" xfId="0" applyNumberFormat="1" applyFont="1" applyFill="1" applyBorder="1" applyAlignment="1">
      <alignment horizontal="center"/>
    </xf>
    <xf numFmtId="0" fontId="0" fillId="0" borderId="0" xfId="0" applyBorder="1" applyAlignment="1">
      <alignment horizontal="left"/>
    </xf>
    <xf numFmtId="0" fontId="1" fillId="3" borderId="0" xfId="0" applyFont="1" applyFill="1" applyAlignment="1">
      <alignment horizontal="center"/>
    </xf>
    <xf numFmtId="0" fontId="1" fillId="3" borderId="2" xfId="0" applyFont="1" applyFill="1" applyBorder="1" applyAlignment="1">
      <alignment horizontal="center"/>
    </xf>
    <xf numFmtId="0" fontId="1" fillId="0" borderId="13" xfId="0" applyFont="1" applyBorder="1"/>
    <xf numFmtId="0" fontId="2" fillId="0" borderId="1" xfId="0" applyFont="1" applyFill="1" applyBorder="1" applyAlignment="1">
      <alignment horizontal="right"/>
    </xf>
    <xf numFmtId="0" fontId="2" fillId="0" borderId="0" xfId="0" applyFont="1" applyFill="1" applyBorder="1" applyAlignment="1">
      <alignment horizontal="center"/>
    </xf>
    <xf numFmtId="164" fontId="7" fillId="0" borderId="0" xfId="0" applyNumberFormat="1" applyFont="1" applyFill="1" applyBorder="1"/>
    <xf numFmtId="0" fontId="15" fillId="0" borderId="0" xfId="0" applyFont="1" applyFill="1" applyBorder="1"/>
    <xf numFmtId="0" fontId="0" fillId="0" borderId="1" xfId="0" applyBorder="1" applyAlignment="1">
      <alignment horizontal="center"/>
    </xf>
    <xf numFmtId="0" fontId="0" fillId="0" borderId="1" xfId="0" applyBorder="1"/>
    <xf numFmtId="0" fontId="27" fillId="0" borderId="0" xfId="0" applyNumberFormat="1" applyFont="1" applyFill="1" applyBorder="1" applyAlignment="1">
      <alignment horizontal="center"/>
    </xf>
    <xf numFmtId="0" fontId="7" fillId="0" borderId="0" xfId="0" applyNumberFormat="1" applyFont="1" applyFill="1" applyBorder="1" applyAlignment="1">
      <alignment horizontal="left"/>
    </xf>
    <xf numFmtId="0" fontId="26" fillId="0" borderId="0" xfId="0" applyFont="1" applyAlignment="1">
      <alignment horizontal="right"/>
    </xf>
    <xf numFmtId="0" fontId="7" fillId="0" borderId="0" xfId="0" applyNumberFormat="1" applyFont="1" applyFill="1" applyBorder="1" applyAlignment="1">
      <alignment horizontal="center"/>
    </xf>
    <xf numFmtId="0" fontId="10" fillId="0" borderId="0" xfId="0" applyNumberFormat="1" applyFont="1" applyFill="1" applyBorder="1" applyAlignment="1">
      <alignment horizontal="left"/>
    </xf>
    <xf numFmtId="0" fontId="21" fillId="0" borderId="0" xfId="0" applyNumberFormat="1" applyFont="1" applyFill="1" applyBorder="1" applyAlignment="1">
      <alignment horizontal="left"/>
    </xf>
    <xf numFmtId="0" fontId="2" fillId="0" borderId="1" xfId="0" applyFont="1" applyFill="1" applyBorder="1" applyAlignment="1">
      <alignment horizontal="center"/>
    </xf>
    <xf numFmtId="0" fontId="3" fillId="0" borderId="16" xfId="0" applyFont="1" applyBorder="1" applyAlignment="1">
      <alignment horizontal="center" shrinkToFit="1"/>
    </xf>
    <xf numFmtId="0" fontId="7" fillId="3" borderId="0" xfId="0" applyNumberFormat="1" applyFont="1" applyFill="1" applyBorder="1" applyAlignment="1">
      <alignment horizontal="left"/>
    </xf>
    <xf numFmtId="0" fontId="7" fillId="3" borderId="0" xfId="0" applyNumberFormat="1" applyFont="1" applyFill="1" applyBorder="1" applyAlignment="1">
      <alignment horizontal="center"/>
    </xf>
    <xf numFmtId="0" fontId="25" fillId="3" borderId="0" xfId="0" applyFont="1" applyFill="1" applyAlignment="1">
      <alignment horizontal="center"/>
    </xf>
    <xf numFmtId="0" fontId="0" fillId="5" borderId="0" xfId="0" applyFont="1" applyFill="1"/>
    <xf numFmtId="0" fontId="3" fillId="5" borderId="0" xfId="0" applyFont="1" applyFill="1" applyProtection="1"/>
    <xf numFmtId="0" fontId="5" fillId="0" borderId="0" xfId="0" applyFont="1"/>
    <xf numFmtId="0" fontId="7" fillId="0" borderId="0" xfId="0" applyNumberFormat="1" applyFont="1" applyFill="1" applyBorder="1" applyAlignment="1">
      <alignment horizontal="right"/>
    </xf>
    <xf numFmtId="0" fontId="14" fillId="0" borderId="0" xfId="0" applyFont="1" applyBorder="1"/>
    <xf numFmtId="0" fontId="14" fillId="0" borderId="0" xfId="0" applyFont="1" applyBorder="1" applyAlignment="1">
      <alignment horizontal="left"/>
    </xf>
    <xf numFmtId="0" fontId="14" fillId="0" borderId="0" xfId="0" applyFont="1" applyBorder="1" applyAlignment="1">
      <alignment horizontal="right"/>
    </xf>
    <xf numFmtId="0" fontId="18" fillId="0" borderId="0" xfId="0" applyFont="1" applyFill="1" applyAlignment="1">
      <alignment horizontal="right"/>
    </xf>
    <xf numFmtId="0" fontId="14" fillId="0" borderId="18" xfId="0" applyFont="1" applyBorder="1" applyAlignment="1">
      <alignment horizontal="left"/>
    </xf>
    <xf numFmtId="0" fontId="0" fillId="4" borderId="0" xfId="0" applyFont="1" applyFill="1"/>
    <xf numFmtId="0" fontId="0" fillId="0" borderId="0" xfId="0" applyProtection="1">
      <protection locked="0"/>
    </xf>
    <xf numFmtId="0" fontId="0" fillId="0" borderId="0" xfId="0" applyFill="1" applyProtection="1">
      <protection locked="0"/>
    </xf>
    <xf numFmtId="0" fontId="3" fillId="0" borderId="9" xfId="0" applyFont="1" applyFill="1" applyBorder="1" applyAlignment="1">
      <alignment horizontal="center"/>
    </xf>
    <xf numFmtId="0" fontId="3" fillId="0" borderId="10" xfId="0" applyFont="1" applyFill="1" applyBorder="1" applyAlignment="1">
      <alignment horizontal="center"/>
    </xf>
    <xf numFmtId="0" fontId="3" fillId="0" borderId="19" xfId="0" applyFont="1" applyFill="1" applyBorder="1" applyAlignment="1">
      <alignment horizontal="center"/>
    </xf>
    <xf numFmtId="0" fontId="3" fillId="0" borderId="11" xfId="0" applyFont="1" applyFill="1" applyBorder="1" applyAlignment="1">
      <alignment horizontal="center"/>
    </xf>
    <xf numFmtId="0" fontId="3" fillId="0" borderId="18" xfId="0" applyFont="1" applyFill="1" applyBorder="1" applyAlignment="1">
      <alignment horizontal="center"/>
    </xf>
    <xf numFmtId="0" fontId="0" fillId="0" borderId="18" xfId="0" applyBorder="1"/>
    <xf numFmtId="0" fontId="0" fillId="0" borderId="11" xfId="0" applyBorder="1" applyAlignment="1">
      <alignment horizontal="center"/>
    </xf>
    <xf numFmtId="0" fontId="0" fillId="0" borderId="20" xfId="0" applyBorder="1"/>
    <xf numFmtId="0" fontId="21" fillId="0" borderId="21" xfId="0" applyFont="1" applyBorder="1" applyAlignment="1">
      <alignment horizontal="center" shrinkToFit="1"/>
    </xf>
    <xf numFmtId="0" fontId="21" fillId="0" borderId="21" xfId="0" applyFont="1" applyBorder="1" applyAlignment="1">
      <alignment horizontal="center"/>
    </xf>
    <xf numFmtId="0" fontId="0" fillId="0" borderId="21" xfId="0" applyBorder="1" applyAlignment="1">
      <alignment horizontal="center" shrinkToFit="1"/>
    </xf>
    <xf numFmtId="0" fontId="0" fillId="0" borderId="21" xfId="0" applyBorder="1" applyAlignment="1">
      <alignment horizontal="center"/>
    </xf>
    <xf numFmtId="0" fontId="3" fillId="0" borderId="0" xfId="0" applyFont="1" applyBorder="1" applyAlignment="1">
      <alignment horizontal="center"/>
    </xf>
    <xf numFmtId="0" fontId="3" fillId="0" borderId="0" xfId="0" applyFont="1" applyAlignment="1">
      <alignment horizontal="left"/>
    </xf>
    <xf numFmtId="0" fontId="2" fillId="0" borderId="9" xfId="0" applyFont="1" applyBorder="1" applyAlignment="1">
      <alignment horizontal="left"/>
    </xf>
    <xf numFmtId="0" fontId="25" fillId="0" borderId="0" xfId="0" applyFont="1" applyBorder="1" applyAlignment="1">
      <alignment horizontal="center"/>
    </xf>
    <xf numFmtId="0" fontId="3" fillId="3" borderId="0" xfId="0" applyFont="1" applyFill="1" applyBorder="1" applyAlignment="1">
      <alignment horizontal="center" vertical="center" wrapText="1"/>
    </xf>
    <xf numFmtId="0" fontId="1" fillId="0" borderId="0" xfId="0" applyFont="1" applyAlignment="1">
      <alignment horizontal="left"/>
    </xf>
    <xf numFmtId="0" fontId="21" fillId="0" borderId="22" xfId="0" applyFont="1" applyBorder="1"/>
    <xf numFmtId="0" fontId="21" fillId="0" borderId="23" xfId="0" applyFont="1" applyBorder="1"/>
    <xf numFmtId="0" fontId="21" fillId="0" borderId="24" xfId="0" applyFont="1" applyBorder="1"/>
    <xf numFmtId="0" fontId="10" fillId="0" borderId="0" xfId="0" applyFont="1"/>
    <xf numFmtId="0" fontId="14" fillId="0" borderId="0" xfId="0" applyFont="1" applyAlignment="1">
      <alignment horizontal="left"/>
    </xf>
    <xf numFmtId="0" fontId="29" fillId="0" borderId="0" xfId="0" applyFont="1" applyFill="1" applyBorder="1" applyAlignment="1">
      <alignment horizontal="left" vertical="center"/>
    </xf>
    <xf numFmtId="0" fontId="3" fillId="0" borderId="0" xfId="0" applyFont="1" applyAlignment="1">
      <alignment horizontal="center"/>
    </xf>
    <xf numFmtId="0" fontId="26" fillId="0" borderId="0" xfId="0" applyFont="1"/>
    <xf numFmtId="0" fontId="30" fillId="0" borderId="0" xfId="0" applyFont="1"/>
    <xf numFmtId="0" fontId="30" fillId="0" borderId="0" xfId="0" applyFont="1" applyAlignment="1">
      <alignment horizontal="center"/>
    </xf>
    <xf numFmtId="0" fontId="29" fillId="0" borderId="0" xfId="0" applyFont="1" applyFill="1" applyBorder="1" applyAlignment="1">
      <alignment vertical="center"/>
    </xf>
    <xf numFmtId="0" fontId="22" fillId="0" borderId="0" xfId="0" applyFont="1"/>
    <xf numFmtId="0" fontId="14" fillId="0" borderId="0" xfId="0" applyFont="1" applyFill="1" applyBorder="1" applyProtection="1">
      <protection locked="0"/>
    </xf>
    <xf numFmtId="0" fontId="3" fillId="2" borderId="2" xfId="0" applyFont="1"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2" xfId="0" applyFill="1" applyBorder="1" applyAlignment="1" applyProtection="1">
      <alignment horizontal="center" shrinkToFit="1"/>
      <protection locked="0"/>
    </xf>
    <xf numFmtId="0" fontId="0" fillId="2" borderId="2" xfId="0" applyFill="1" applyBorder="1" applyProtection="1">
      <protection locked="0"/>
    </xf>
    <xf numFmtId="0" fontId="33" fillId="0" borderId="0" xfId="0" applyFont="1" applyAlignment="1">
      <alignment horizontal="center"/>
    </xf>
    <xf numFmtId="0" fontId="33" fillId="0" borderId="0" xfId="0" applyFont="1"/>
    <xf numFmtId="0" fontId="7" fillId="0" borderId="0" xfId="0" applyFont="1" applyFill="1" applyAlignment="1">
      <alignment horizontal="left"/>
    </xf>
    <xf numFmtId="0" fontId="3" fillId="3" borderId="0" xfId="0" applyNumberFormat="1" applyFont="1" applyFill="1" applyBorder="1" applyAlignment="1">
      <alignment horizontal="left"/>
    </xf>
    <xf numFmtId="0" fontId="3" fillId="3" borderId="0" xfId="0" applyFont="1" applyFill="1" applyBorder="1" applyAlignment="1">
      <alignment horizontal="left"/>
    </xf>
    <xf numFmtId="0" fontId="3" fillId="3" borderId="0" xfId="0" applyFont="1" applyFill="1" applyAlignment="1">
      <alignment horizontal="left"/>
    </xf>
    <xf numFmtId="0" fontId="3" fillId="3" borderId="0" xfId="0" applyFont="1" applyFill="1" applyBorder="1" applyAlignment="1" applyProtection="1">
      <alignment horizontal="left"/>
    </xf>
    <xf numFmtId="0" fontId="3" fillId="3" borderId="0" xfId="0" applyFont="1" applyFill="1" applyAlignment="1" applyProtection="1">
      <alignment horizontal="left"/>
    </xf>
    <xf numFmtId="0" fontId="0" fillId="0" borderId="0" xfId="0" applyAlignment="1">
      <alignment wrapText="1"/>
    </xf>
    <xf numFmtId="0" fontId="7" fillId="0" borderId="0" xfId="0" applyFont="1" applyFill="1" applyAlignment="1" applyProtection="1">
      <alignment horizontal="left"/>
    </xf>
    <xf numFmtId="0" fontId="15" fillId="3" borderId="0" xfId="0" applyFont="1" applyFill="1" applyBorder="1" applyAlignment="1">
      <alignment horizontal="left"/>
    </xf>
    <xf numFmtId="0" fontId="10" fillId="3" borderId="0" xfId="0" applyNumberFormat="1" applyFont="1" applyFill="1" applyBorder="1" applyAlignment="1">
      <alignment horizontal="left"/>
    </xf>
    <xf numFmtId="0" fontId="21" fillId="3" borderId="0" xfId="0" applyNumberFormat="1" applyFont="1" applyFill="1" applyBorder="1" applyAlignment="1">
      <alignment horizontal="left"/>
    </xf>
    <xf numFmtId="0" fontId="1" fillId="0" borderId="0" xfId="0" applyFont="1" applyAlignment="1"/>
    <xf numFmtId="0" fontId="25" fillId="0" borderId="0" xfId="0" applyFont="1" applyFill="1" applyAlignment="1">
      <alignment horizontal="center"/>
    </xf>
    <xf numFmtId="0" fontId="3" fillId="0" borderId="0" xfId="0" applyFont="1" applyBorder="1" applyAlignment="1">
      <alignment horizontal="left"/>
    </xf>
    <xf numFmtId="164" fontId="3" fillId="0" borderId="0" xfId="0" applyNumberFormat="1" applyFont="1" applyBorder="1" applyAlignment="1">
      <alignment horizontal="left"/>
    </xf>
    <xf numFmtId="164" fontId="3" fillId="0" borderId="0" xfId="0" applyNumberFormat="1" applyFont="1" applyBorder="1" applyAlignment="1">
      <alignment horizontal="center"/>
    </xf>
    <xf numFmtId="0" fontId="3" fillId="0" borderId="0" xfId="0" applyFont="1" applyAlignment="1"/>
    <xf numFmtId="0" fontId="3" fillId="0" borderId="0"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164" fontId="1" fillId="0" borderId="0" xfId="0" applyNumberFormat="1" applyFont="1" applyFill="1" applyBorder="1"/>
    <xf numFmtId="0" fontId="7" fillId="3" borderId="0" xfId="0" applyNumberFormat="1" applyFont="1" applyFill="1" applyBorder="1" applyAlignment="1">
      <alignment horizontal="right"/>
    </xf>
    <xf numFmtId="0" fontId="3" fillId="0" borderId="0" xfId="0" applyFont="1" applyFill="1" applyAlignment="1" applyProtection="1">
      <alignment horizontal="right"/>
    </xf>
    <xf numFmtId="0" fontId="9" fillId="0" borderId="0" xfId="0" applyFont="1" applyFill="1" applyAlignment="1" applyProtection="1">
      <alignment horizontal="right"/>
    </xf>
    <xf numFmtId="0" fontId="0" fillId="3" borderId="0" xfId="0" applyFill="1" applyAlignment="1" applyProtection="1">
      <alignment horizontal="center"/>
    </xf>
    <xf numFmtId="0" fontId="0" fillId="6" borderId="0" xfId="0" applyFill="1" applyAlignment="1" applyProtection="1">
      <alignment horizontal="center"/>
    </xf>
    <xf numFmtId="0" fontId="3" fillId="6" borderId="0" xfId="0" applyFont="1" applyFill="1" applyBorder="1" applyAlignment="1" applyProtection="1">
      <alignment horizontal="center"/>
    </xf>
    <xf numFmtId="0" fontId="0" fillId="3" borderId="0" xfId="0" applyFill="1" applyAlignment="1" applyProtection="1">
      <alignment horizontal="center" vertical="center" wrapText="1"/>
    </xf>
    <xf numFmtId="0" fontId="0" fillId="0" borderId="0" xfId="0" applyAlignment="1" applyProtection="1">
      <alignment horizontal="center"/>
    </xf>
    <xf numFmtId="0" fontId="1" fillId="0" borderId="0" xfId="0" applyFont="1" applyAlignment="1" applyProtection="1">
      <alignment horizontal="center"/>
    </xf>
    <xf numFmtId="0" fontId="10" fillId="0" borderId="0" xfId="0" applyFont="1" applyAlignment="1" applyProtection="1">
      <alignment horizontal="center"/>
    </xf>
    <xf numFmtId="0" fontId="35" fillId="0" borderId="0" xfId="0" applyFont="1" applyAlignment="1" applyProtection="1">
      <alignment horizontal="right"/>
    </xf>
    <xf numFmtId="0" fontId="20" fillId="0" borderId="0" xfId="0" applyFont="1" applyAlignment="1" applyProtection="1">
      <alignment horizontal="center"/>
    </xf>
    <xf numFmtId="0" fontId="3" fillId="0" borderId="0" xfId="0" applyFont="1" applyFill="1" applyBorder="1" applyProtection="1"/>
    <xf numFmtId="0" fontId="10" fillId="0" borderId="0" xfId="0" applyFont="1" applyFill="1" applyBorder="1" applyAlignment="1" applyProtection="1">
      <alignment horizontal="center"/>
    </xf>
    <xf numFmtId="0" fontId="6" fillId="0" borderId="0" xfId="0" applyFont="1" applyBorder="1" applyAlignment="1" applyProtection="1">
      <alignment horizontal="center"/>
    </xf>
    <xf numFmtId="0" fontId="20" fillId="0" borderId="0" xfId="0" applyFont="1" applyBorder="1" applyAlignment="1" applyProtection="1">
      <alignment horizontal="center"/>
    </xf>
    <xf numFmtId="0" fontId="0" fillId="0" borderId="0" xfId="0" applyAlignment="1" applyProtection="1">
      <alignment horizontal="right"/>
    </xf>
    <xf numFmtId="0" fontId="0" fillId="0" borderId="0" xfId="0" applyAlignment="1" applyProtection="1"/>
    <xf numFmtId="0" fontId="0" fillId="0" borderId="0" xfId="0" applyBorder="1" applyAlignment="1" applyProtection="1">
      <alignment horizontal="center"/>
    </xf>
    <xf numFmtId="0" fontId="0" fillId="0" borderId="0" xfId="0" applyProtection="1"/>
    <xf numFmtId="0" fontId="3" fillId="0" borderId="0" xfId="0" applyFont="1" applyFill="1" applyBorder="1" applyAlignment="1" applyProtection="1">
      <alignment horizontal="center"/>
    </xf>
    <xf numFmtId="0" fontId="6" fillId="0" borderId="0" xfId="0" applyFont="1" applyBorder="1" applyAlignment="1" applyProtection="1">
      <alignment horizontal="right"/>
    </xf>
    <xf numFmtId="0" fontId="35" fillId="0" borderId="0" xfId="0" applyFont="1" applyBorder="1" applyAlignment="1" applyProtection="1">
      <alignment horizontal="right"/>
    </xf>
    <xf numFmtId="0" fontId="1" fillId="0" borderId="0" xfId="0" applyFont="1" applyProtection="1"/>
    <xf numFmtId="0" fontId="34" fillId="0" borderId="0" xfId="0" applyFont="1" applyBorder="1" applyAlignment="1" applyProtection="1">
      <alignment horizontal="right"/>
    </xf>
    <xf numFmtId="0" fontId="2" fillId="0" borderId="0" xfId="0" applyFont="1" applyAlignment="1" applyProtection="1">
      <alignment horizontal="center"/>
    </xf>
    <xf numFmtId="0" fontId="0" fillId="0" borderId="0" xfId="0" applyAlignment="1" applyProtection="1">
      <alignment horizontal="left"/>
    </xf>
    <xf numFmtId="0" fontId="0" fillId="0" borderId="0" xfId="0" applyFont="1" applyFill="1" applyAlignment="1" applyProtection="1">
      <alignment horizontal="right"/>
    </xf>
    <xf numFmtId="0" fontId="28" fillId="0" borderId="0" xfId="0" applyFont="1" applyFill="1" applyBorder="1" applyAlignment="1" applyProtection="1">
      <alignment horizontal="left"/>
    </xf>
    <xf numFmtId="0" fontId="11" fillId="0" borderId="0" xfId="0" applyFont="1" applyFill="1" applyBorder="1" applyAlignment="1" applyProtection="1">
      <alignment horizontal="center"/>
    </xf>
    <xf numFmtId="0" fontId="13" fillId="0" borderId="0" xfId="0" applyFont="1" applyFill="1" applyBorder="1" applyAlignment="1" applyProtection="1">
      <alignment horizontal="center"/>
    </xf>
    <xf numFmtId="0" fontId="0" fillId="0" borderId="0" xfId="0" applyFill="1" applyProtection="1"/>
    <xf numFmtId="0" fontId="2" fillId="0" borderId="0" xfId="0" applyFont="1" applyFill="1" applyAlignment="1" applyProtection="1">
      <alignment horizontal="center"/>
    </xf>
    <xf numFmtId="0" fontId="13" fillId="0" borderId="0" xfId="0" applyFont="1" applyFill="1" applyBorder="1" applyAlignment="1" applyProtection="1">
      <alignment horizontal="right"/>
    </xf>
    <xf numFmtId="0" fontId="36" fillId="0" borderId="0" xfId="0" applyFont="1" applyFill="1" applyBorder="1" applyAlignment="1" applyProtection="1">
      <alignment horizontal="right"/>
    </xf>
    <xf numFmtId="0" fontId="0" fillId="0" borderId="0" xfId="0" applyFont="1" applyAlignment="1" applyProtection="1">
      <alignment horizontal="right"/>
    </xf>
    <xf numFmtId="0" fontId="11" fillId="0" borderId="0" xfId="0" applyFont="1" applyFill="1" applyBorder="1" applyAlignment="1" applyProtection="1">
      <alignment horizontal="right"/>
    </xf>
    <xf numFmtId="0" fontId="11" fillId="0" borderId="0" xfId="0" applyFont="1" applyFill="1" applyBorder="1" applyAlignment="1" applyProtection="1">
      <alignment horizontal="left"/>
    </xf>
    <xf numFmtId="0" fontId="31" fillId="0" borderId="0" xfId="0" applyFont="1" applyFill="1" applyBorder="1" applyAlignment="1" applyProtection="1">
      <alignment horizontal="center"/>
    </xf>
    <xf numFmtId="0" fontId="31" fillId="0" borderId="0" xfId="0" applyFont="1" applyFill="1" applyBorder="1" applyAlignment="1" applyProtection="1">
      <alignment horizontal="right"/>
    </xf>
    <xf numFmtId="0" fontId="35" fillId="0" borderId="0" xfId="0" applyFont="1" applyFill="1" applyBorder="1" applyAlignment="1" applyProtection="1">
      <alignment horizontal="right"/>
    </xf>
    <xf numFmtId="0" fontId="3" fillId="0" borderId="0" xfId="0" applyFont="1" applyFill="1" applyBorder="1" applyAlignment="1" applyProtection="1">
      <alignment horizontal="right" vertical="center"/>
    </xf>
    <xf numFmtId="0" fontId="11" fillId="0" borderId="0" xfId="0" applyFont="1" applyFill="1" applyBorder="1" applyAlignment="1" applyProtection="1">
      <alignment horizontal="right" vertical="center"/>
    </xf>
    <xf numFmtId="0" fontId="1" fillId="0" borderId="0" xfId="0" applyFont="1" applyBorder="1" applyAlignment="1" applyProtection="1">
      <alignment horizontal="center"/>
    </xf>
    <xf numFmtId="0" fontId="3" fillId="0" borderId="0" xfId="0" applyFont="1" applyBorder="1" applyAlignment="1" applyProtection="1">
      <alignment horizontal="right"/>
    </xf>
    <xf numFmtId="0" fontId="3" fillId="0" borderId="0" xfId="0" applyFont="1" applyAlignment="1" applyProtection="1">
      <alignment horizontal="right"/>
    </xf>
    <xf numFmtId="0" fontId="15" fillId="0" borderId="0" xfId="0" applyFont="1" applyFill="1" applyBorder="1" applyAlignment="1" applyProtection="1">
      <alignment horizontal="center"/>
    </xf>
    <xf numFmtId="0" fontId="15" fillId="0" borderId="0" xfId="0" applyFont="1" applyFill="1" applyBorder="1" applyAlignment="1" applyProtection="1">
      <alignment horizontal="right"/>
    </xf>
    <xf numFmtId="0" fontId="32" fillId="0" borderId="0" xfId="0" applyFont="1" applyFill="1" applyBorder="1" applyAlignment="1" applyProtection="1">
      <alignment horizontal="center"/>
    </xf>
    <xf numFmtId="0" fontId="32" fillId="0" borderId="0" xfId="0" applyFont="1" applyFill="1" applyBorder="1" applyAlignment="1" applyProtection="1">
      <alignment horizontal="right"/>
    </xf>
    <xf numFmtId="0" fontId="13" fillId="0" borderId="0" xfId="0" applyFont="1" applyBorder="1" applyAlignment="1" applyProtection="1">
      <alignment horizontal="center"/>
    </xf>
    <xf numFmtId="0" fontId="13" fillId="0" borderId="0" xfId="0" applyFont="1" applyBorder="1" applyAlignment="1" applyProtection="1">
      <alignment horizontal="right"/>
    </xf>
    <xf numFmtId="0" fontId="13" fillId="4" borderId="0" xfId="0" applyFont="1" applyFill="1" applyBorder="1" applyAlignment="1" applyProtection="1">
      <alignment horizontal="center"/>
    </xf>
    <xf numFmtId="0" fontId="37" fillId="0" borderId="0" xfId="0" applyFont="1" applyAlignment="1">
      <alignment horizontal="right"/>
    </xf>
    <xf numFmtId="0" fontId="18" fillId="2" borderId="2" xfId="0" applyFont="1" applyFill="1" applyBorder="1" applyProtection="1">
      <protection locked="0"/>
    </xf>
    <xf numFmtId="0" fontId="18" fillId="0" borderId="0" xfId="0" applyFont="1" applyAlignment="1">
      <alignment horizontal="center"/>
    </xf>
    <xf numFmtId="0" fontId="0" fillId="0" borderId="0" xfId="0" applyAlignment="1">
      <alignment vertical="center"/>
    </xf>
    <xf numFmtId="0" fontId="38" fillId="0" borderId="0" xfId="0" applyFont="1" applyAlignment="1">
      <alignment horizontal="center"/>
    </xf>
    <xf numFmtId="0" fontId="0" fillId="0" borderId="0" xfId="0" applyAlignment="1">
      <alignment horizontal="center"/>
    </xf>
    <xf numFmtId="164" fontId="1" fillId="0" borderId="0" xfId="0" applyNumberFormat="1" applyFont="1" applyAlignment="1">
      <alignment horizontal="center"/>
    </xf>
    <xf numFmtId="0" fontId="0" fillId="0" borderId="0" xfId="0" applyFill="1" applyBorder="1" applyAlignment="1">
      <alignment horizontal="center"/>
    </xf>
    <xf numFmtId="0" fontId="0" fillId="0" borderId="0" xfId="0" applyAlignment="1">
      <alignment horizontal="center"/>
    </xf>
    <xf numFmtId="0" fontId="23" fillId="3" borderId="0" xfId="0" applyFont="1" applyFill="1" applyAlignment="1">
      <alignment horizontal="center"/>
    </xf>
    <xf numFmtId="0" fontId="10" fillId="0" borderId="0" xfId="0" applyFont="1" applyAlignment="1" applyProtection="1">
      <alignment horizontal="right"/>
    </xf>
    <xf numFmtId="0" fontId="39" fillId="3" borderId="0" xfId="0" applyFont="1" applyFill="1" applyAlignment="1">
      <alignment vertical="center"/>
    </xf>
    <xf numFmtId="0" fontId="0" fillId="3" borderId="0" xfId="0" applyFill="1" applyAlignment="1">
      <alignment vertical="center"/>
    </xf>
    <xf numFmtId="0" fontId="0" fillId="0" borderId="0" xfId="0" applyBorder="1" applyAlignment="1">
      <alignment horizontal="right"/>
    </xf>
    <xf numFmtId="0" fontId="1" fillId="3" borderId="0" xfId="0" applyFont="1" applyFill="1"/>
    <xf numFmtId="165" fontId="7" fillId="0" borderId="0" xfId="0" applyNumberFormat="1" applyFont="1" applyAlignment="1">
      <alignment horizontal="center"/>
    </xf>
    <xf numFmtId="165" fontId="7" fillId="0" borderId="0" xfId="0" applyNumberFormat="1" applyFont="1"/>
    <xf numFmtId="0" fontId="0" fillId="0" borderId="0" xfId="0" applyFill="1" applyBorder="1" applyProtection="1">
      <protection locked="0"/>
    </xf>
    <xf numFmtId="0" fontId="0" fillId="0" borderId="0" xfId="0" applyAlignment="1">
      <alignment horizontal="center"/>
    </xf>
    <xf numFmtId="0" fontId="23" fillId="6" borderId="0" xfId="0" applyFont="1" applyFill="1" applyAlignment="1" applyProtection="1">
      <alignment horizontal="center"/>
    </xf>
    <xf numFmtId="0" fontId="0" fillId="0" borderId="0" xfId="0" applyBorder="1" applyProtection="1">
      <protection locked="0"/>
    </xf>
    <xf numFmtId="0" fontId="2" fillId="0" borderId="9" xfId="0" applyFont="1" applyBorder="1"/>
    <xf numFmtId="0" fontId="40" fillId="0" borderId="0" xfId="0" applyFont="1" applyAlignment="1">
      <alignment horizontal="center"/>
    </xf>
    <xf numFmtId="165" fontId="4" fillId="0" borderId="0" xfId="0" applyNumberFormat="1" applyFont="1" applyAlignment="1">
      <alignment horizontal="center"/>
    </xf>
    <xf numFmtId="0" fontId="0" fillId="0" borderId="0" xfId="0" applyAlignment="1">
      <alignment horizontal="center"/>
    </xf>
    <xf numFmtId="0" fontId="14" fillId="0" borderId="0" xfId="0" applyFont="1" applyAlignment="1">
      <alignment vertical="center" wrapText="1"/>
    </xf>
    <xf numFmtId="0" fontId="39" fillId="0" borderId="0" xfId="0" applyFont="1"/>
    <xf numFmtId="0" fontId="40" fillId="3" borderId="0" xfId="0" applyFont="1" applyFill="1"/>
    <xf numFmtId="0" fontId="40" fillId="0" borderId="0" xfId="0" applyFont="1"/>
    <xf numFmtId="0" fontId="41" fillId="3" borderId="0" xfId="0" applyFont="1" applyFill="1"/>
    <xf numFmtId="0" fontId="40" fillId="0" borderId="0" xfId="0" applyFont="1" applyAlignment="1">
      <alignment horizontal="left"/>
    </xf>
    <xf numFmtId="2" fontId="40" fillId="0" borderId="0" xfId="0" applyNumberFormat="1" applyFont="1"/>
    <xf numFmtId="0" fontId="40" fillId="0" borderId="0" xfId="0" applyFont="1" applyAlignment="1">
      <alignment vertical="center" wrapText="1"/>
    </xf>
    <xf numFmtId="0" fontId="6" fillId="4" borderId="0" xfId="0" applyFont="1" applyFill="1" applyBorder="1" applyAlignment="1" applyProtection="1">
      <alignment horizontal="center"/>
    </xf>
    <xf numFmtId="0" fontId="1" fillId="4" borderId="0" xfId="0" applyFont="1" applyFill="1" applyAlignment="1" applyProtection="1">
      <alignment horizontal="center"/>
    </xf>
    <xf numFmtId="0" fontId="0" fillId="7" borderId="0" xfId="0" applyFill="1"/>
    <xf numFmtId="0" fontId="0" fillId="7" borderId="0" xfId="0" applyFont="1" applyFill="1"/>
    <xf numFmtId="0" fontId="1" fillId="4" borderId="0" xfId="0" applyFont="1" applyFill="1" applyAlignment="1">
      <alignment horizontal="center"/>
    </xf>
    <xf numFmtId="0" fontId="1" fillId="0" borderId="0" xfId="0" applyFont="1" applyBorder="1" applyAlignment="1">
      <alignment horizontal="right"/>
    </xf>
    <xf numFmtId="0" fontId="1" fillId="0" borderId="0" xfId="0" applyFont="1" applyBorder="1" applyAlignment="1">
      <alignment horizontal="left"/>
    </xf>
    <xf numFmtId="0" fontId="13" fillId="0" borderId="0" xfId="0" applyFont="1" applyBorder="1" applyAlignment="1">
      <alignment horizontal="left"/>
    </xf>
    <xf numFmtId="0" fontId="13" fillId="0" borderId="0" xfId="0" applyFont="1" applyFill="1" applyBorder="1" applyAlignment="1">
      <alignment horizontal="left" vertical="center"/>
    </xf>
    <xf numFmtId="0" fontId="1" fillId="0" borderId="0" xfId="0" applyFont="1" applyFill="1" applyBorder="1" applyAlignment="1">
      <alignment horizontal="right"/>
    </xf>
    <xf numFmtId="16" fontId="1" fillId="0" borderId="0" xfId="0" applyNumberFormat="1" applyFont="1"/>
    <xf numFmtId="0" fontId="0" fillId="0" borderId="0" xfId="0" applyAlignment="1">
      <alignment horizontal="center"/>
    </xf>
    <xf numFmtId="0" fontId="0" fillId="2" borderId="2" xfId="0" applyFill="1" applyBorder="1" applyAlignment="1" applyProtection="1">
      <alignment horizontal="left" shrinkToFit="1"/>
      <protection locked="0"/>
    </xf>
    <xf numFmtId="0" fontId="0" fillId="0" borderId="0" xfId="0" applyAlignment="1">
      <alignment horizontal="center"/>
    </xf>
    <xf numFmtId="4" fontId="0" fillId="0" borderId="0" xfId="0" applyNumberFormat="1"/>
    <xf numFmtId="0" fontId="2" fillId="0" borderId="0" xfId="0" applyFont="1" applyFill="1" applyAlignment="1">
      <alignment horizontal="center"/>
    </xf>
    <xf numFmtId="166" fontId="1" fillId="0" borderId="0" xfId="0" applyNumberFormat="1" applyFont="1" applyAlignment="1">
      <alignment horizontal="center"/>
    </xf>
    <xf numFmtId="4" fontId="0" fillId="0" borderId="0" xfId="0" applyNumberFormat="1" applyFill="1" applyAlignment="1">
      <alignment horizontal="center"/>
    </xf>
    <xf numFmtId="0" fontId="0" fillId="0" borderId="0" xfId="0" applyAlignment="1">
      <alignment horizontal="center"/>
    </xf>
    <xf numFmtId="0" fontId="0" fillId="0" borderId="0" xfId="0" applyAlignment="1">
      <alignment horizontal="center"/>
    </xf>
    <xf numFmtId="0" fontId="8" fillId="0" borderId="0" xfId="0" applyFont="1" applyBorder="1" applyAlignment="1">
      <alignment horizontal="center"/>
    </xf>
    <xf numFmtId="0" fontId="10" fillId="0" borderId="0" xfId="0" applyFont="1" applyBorder="1" applyAlignment="1">
      <alignment horizontal="center"/>
    </xf>
    <xf numFmtId="49" fontId="0" fillId="0" borderId="1" xfId="0" applyNumberFormat="1" applyBorder="1"/>
    <xf numFmtId="49" fontId="3" fillId="0" borderId="0" xfId="0" applyNumberFormat="1" applyFont="1" applyBorder="1"/>
    <xf numFmtId="0" fontId="3" fillId="0" borderId="0" xfId="0" applyNumberFormat="1" applyFont="1" applyBorder="1" applyAlignment="1">
      <alignment horizontal="center"/>
    </xf>
    <xf numFmtId="49" fontId="0" fillId="0" borderId="0" xfId="0" applyNumberFormat="1" applyBorder="1" applyAlignment="1">
      <alignment horizontal="center"/>
    </xf>
    <xf numFmtId="0" fontId="0" fillId="0" borderId="9" xfId="0" applyBorder="1" applyAlignment="1">
      <alignment horizontal="center"/>
    </xf>
    <xf numFmtId="49" fontId="0" fillId="0" borderId="11" xfId="0" applyNumberFormat="1" applyBorder="1" applyAlignment="1">
      <alignment horizontal="center"/>
    </xf>
    <xf numFmtId="49" fontId="0" fillId="0" borderId="12" xfId="0" applyNumberFormat="1" applyBorder="1" applyAlignment="1">
      <alignment horizontal="center"/>
    </xf>
    <xf numFmtId="0" fontId="7" fillId="0" borderId="0" xfId="0" applyFont="1" applyFill="1" applyBorder="1" applyAlignment="1">
      <alignment horizontal="center"/>
    </xf>
    <xf numFmtId="0" fontId="7" fillId="0" borderId="0" xfId="0" applyFont="1" applyBorder="1"/>
    <xf numFmtId="0" fontId="10" fillId="0" borderId="0" xfId="0" applyNumberFormat="1" applyFont="1" applyBorder="1" applyAlignment="1">
      <alignment horizontal="center"/>
    </xf>
    <xf numFmtId="49" fontId="3" fillId="0" borderId="0" xfId="0" applyNumberFormat="1" applyFont="1" applyBorder="1" applyAlignment="1">
      <alignment horizontal="center"/>
    </xf>
    <xf numFmtId="0" fontId="0" fillId="0" borderId="10" xfId="0" applyBorder="1"/>
    <xf numFmtId="0" fontId="0" fillId="0" borderId="19" xfId="0" applyBorder="1"/>
    <xf numFmtId="0" fontId="1" fillId="0" borderId="1" xfId="0" applyFont="1" applyBorder="1" applyAlignment="1">
      <alignment horizontal="center"/>
    </xf>
    <xf numFmtId="0" fontId="1" fillId="0" borderId="0" xfId="0" applyFont="1" applyAlignment="1">
      <alignment horizontal="center" vertical="center" wrapText="1"/>
    </xf>
    <xf numFmtId="0" fontId="1" fillId="0" borderId="0" xfId="0" applyFont="1" applyFill="1" applyBorder="1" applyAlignment="1">
      <alignment horizontal="center"/>
    </xf>
    <xf numFmtId="0" fontId="0" fillId="0" borderId="0" xfId="0" quotePrefix="1" applyAlignment="1">
      <alignment horizontal="left"/>
    </xf>
    <xf numFmtId="0" fontId="0" fillId="0" borderId="0" xfId="0" quotePrefix="1" applyFill="1" applyBorder="1" applyProtection="1">
      <protection locked="0"/>
    </xf>
    <xf numFmtId="0" fontId="0" fillId="0" borderId="0" xfId="0" applyAlignment="1">
      <alignment horizontal="center"/>
    </xf>
    <xf numFmtId="1" fontId="13" fillId="0" borderId="0" xfId="0" applyNumberFormat="1" applyFont="1" applyFill="1" applyBorder="1" applyAlignment="1">
      <alignment horizontal="center"/>
    </xf>
    <xf numFmtId="2" fontId="11" fillId="0" borderId="0" xfId="0" applyNumberFormat="1" applyFont="1" applyBorder="1" applyAlignment="1">
      <alignment horizontal="center"/>
    </xf>
    <xf numFmtId="1" fontId="11" fillId="0" borderId="0" xfId="0" applyNumberFormat="1" applyFont="1" applyFill="1" applyBorder="1" applyAlignment="1">
      <alignment horizontal="center"/>
    </xf>
    <xf numFmtId="0" fontId="40" fillId="0" borderId="0" xfId="0" applyFont="1" applyAlignment="1">
      <alignment horizontal="right"/>
    </xf>
    <xf numFmtId="0" fontId="11" fillId="3" borderId="0" xfId="0" applyFont="1" applyFill="1" applyBorder="1" applyAlignment="1">
      <alignment horizontal="center"/>
    </xf>
    <xf numFmtId="0" fontId="42" fillId="0" borderId="0" xfId="0" applyFont="1" applyAlignment="1">
      <alignment horizontal="center"/>
    </xf>
    <xf numFmtId="165" fontId="43" fillId="0" borderId="0" xfId="0" applyNumberFormat="1" applyFont="1" applyAlignment="1">
      <alignment horizontal="center"/>
    </xf>
    <xf numFmtId="165" fontId="43" fillId="0" borderId="0" xfId="0" applyNumberFormat="1" applyFont="1" applyAlignment="1">
      <alignment horizontal="left"/>
    </xf>
    <xf numFmtId="0" fontId="43" fillId="0" borderId="0" xfId="0" applyFont="1"/>
    <xf numFmtId="164" fontId="43" fillId="0" borderId="0" xfId="0" applyNumberFormat="1" applyFont="1" applyAlignment="1">
      <alignment horizontal="center"/>
    </xf>
    <xf numFmtId="0" fontId="43" fillId="0" borderId="0" xfId="0" applyFont="1" applyFill="1"/>
    <xf numFmtId="0" fontId="14" fillId="0" borderId="0" xfId="0" applyFont="1" applyBorder="1" applyAlignment="1" applyProtection="1">
      <alignment horizontal="center" vertical="center"/>
    </xf>
    <xf numFmtId="0" fontId="43" fillId="0" borderId="0" xfId="0" applyFont="1" applyAlignment="1">
      <alignment horizontal="right" vertical="center" wrapText="1"/>
    </xf>
    <xf numFmtId="165" fontId="43" fillId="0" borderId="0" xfId="0" applyNumberFormat="1" applyFont="1" applyAlignment="1">
      <alignment horizontal="left" vertical="center" wrapText="1"/>
    </xf>
    <xf numFmtId="165" fontId="43" fillId="0" borderId="2" xfId="0" applyNumberFormat="1" applyFont="1" applyBorder="1" applyAlignment="1">
      <alignment horizontal="center" shrinkToFit="1"/>
    </xf>
    <xf numFmtId="165" fontId="43" fillId="0" borderId="2" xfId="0" applyNumberFormat="1" applyFont="1" applyBorder="1" applyAlignment="1">
      <alignment horizontal="center"/>
    </xf>
    <xf numFmtId="0" fontId="0" fillId="0" borderId="4" xfId="0" applyBorder="1" applyAlignment="1">
      <alignment horizontal="center"/>
    </xf>
    <xf numFmtId="0" fontId="0" fillId="0" borderId="0" xfId="0" applyAlignment="1">
      <alignment horizontal="center"/>
    </xf>
    <xf numFmtId="0" fontId="23" fillId="6" borderId="0" xfId="0" applyFont="1" applyFill="1" applyAlignment="1" applyProtection="1">
      <alignment horizontal="center"/>
    </xf>
  </cellXfs>
  <cellStyles count="1">
    <cellStyle name="Normal" xfId="0" builtinId="0"/>
  </cellStyles>
  <dxfs count="229">
    <dxf>
      <font>
        <color theme="0" tint="-0.24994659260841701"/>
      </font>
    </dxf>
    <dxf>
      <font>
        <color theme="0" tint="-0.24994659260841701"/>
      </font>
    </dxf>
    <dxf>
      <font>
        <color theme="0" tint="-0.24994659260841701"/>
      </font>
    </dxf>
    <dxf>
      <fill>
        <patternFill>
          <bgColor theme="0" tint="-4.9989318521683403E-2"/>
        </patternFill>
      </fill>
      <border>
        <left style="thin">
          <color auto="1"/>
        </left>
        <right style="thin">
          <color auto="1"/>
        </right>
        <top style="thin">
          <color auto="1"/>
        </top>
        <bottom style="thin">
          <color auto="1"/>
        </bottom>
        <vertical/>
        <horizontal/>
      </border>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dxf>
    <dxf>
      <fill>
        <patternFill>
          <bgColor theme="0" tint="-4.9989318521683403E-2"/>
        </patternFill>
      </fill>
      <border>
        <left style="thin">
          <color auto="1"/>
        </left>
        <right style="thin">
          <color auto="1"/>
        </right>
        <top style="thin">
          <color auto="1"/>
        </top>
        <bottom style="thin">
          <color auto="1"/>
        </bottom>
      </border>
    </dxf>
    <dxf>
      <font>
        <color theme="0" tint="-0.24994659260841701"/>
      </font>
    </dxf>
    <dxf>
      <font>
        <color theme="0" tint="-0.24994659260841701"/>
      </font>
    </dxf>
    <dxf>
      <fill>
        <patternFill patternType="solid">
          <bgColor theme="0" tint="-4.9989318521683403E-2"/>
        </patternFill>
      </fill>
      <border>
        <left style="thin">
          <color auto="1"/>
        </left>
        <right style="thin">
          <color auto="1"/>
        </right>
        <top style="thin">
          <color auto="1"/>
        </top>
        <bottom style="thin">
          <color auto="1"/>
        </bottom>
        <vertical/>
        <horizontal/>
      </border>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auto="1"/>
      </font>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patternType="none">
          <bgColor auto="1"/>
        </patternFill>
      </fill>
    </dxf>
    <dxf>
      <fill>
        <patternFill>
          <bgColor theme="0" tint="-4.9989318521683403E-2"/>
        </patternFill>
      </fill>
      <border>
        <left style="thin">
          <color auto="1"/>
        </left>
        <right style="thin">
          <color auto="1"/>
        </right>
        <top style="thin">
          <color auto="1"/>
        </top>
        <bottom style="thin">
          <color auto="1"/>
        </bottom>
      </border>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0" tint="-4.9989318521683403E-2"/>
        </patternFill>
      </fill>
      <border>
        <left style="thin">
          <color auto="1"/>
        </left>
        <right style="thin">
          <color auto="1"/>
        </right>
        <top style="thin">
          <color auto="1"/>
        </top>
        <bottom style="thin">
          <color auto="1"/>
        </bottom>
      </border>
    </dxf>
    <dxf>
      <font>
        <color auto="1"/>
      </font>
      <fill>
        <patternFill>
          <bgColor theme="0" tint="-4.9989318521683403E-2"/>
        </patternFill>
      </fill>
      <border>
        <left style="thin">
          <color auto="1"/>
        </left>
        <right style="thin">
          <color auto="1"/>
        </right>
        <top style="thin">
          <color auto="1"/>
        </top>
        <bottom style="thin">
          <color auto="1"/>
        </bottom>
      </border>
    </dxf>
    <dxf>
      <font>
        <color auto="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9C0006"/>
      </font>
      <fill>
        <patternFill>
          <bgColor rgb="FFFFC7CE"/>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603739</xdr:colOff>
      <xdr:row>0</xdr:row>
      <xdr:rowOff>298938</xdr:rowOff>
    </xdr:from>
    <xdr:to>
      <xdr:col>2</xdr:col>
      <xdr:colOff>275493</xdr:colOff>
      <xdr:row>1</xdr:row>
      <xdr:rowOff>46892</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a:off x="967154" y="298938"/>
          <a:ext cx="281354" cy="1524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1723293</xdr:colOff>
      <xdr:row>0</xdr:row>
      <xdr:rowOff>293077</xdr:rowOff>
    </xdr:from>
    <xdr:to>
      <xdr:col>3</xdr:col>
      <xdr:colOff>111370</xdr:colOff>
      <xdr:row>2</xdr:row>
      <xdr:rowOff>117231</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H="1">
          <a:off x="2696308" y="293077"/>
          <a:ext cx="216877" cy="422031"/>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240324</xdr:colOff>
      <xdr:row>5</xdr:row>
      <xdr:rowOff>169985</xdr:rowOff>
    </xdr:from>
    <xdr:to>
      <xdr:col>1</xdr:col>
      <xdr:colOff>93786</xdr:colOff>
      <xdr:row>7</xdr:row>
      <xdr:rowOff>105507</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a:off x="240324" y="1357435"/>
          <a:ext cx="221762" cy="335572"/>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188</xdr:col>
      <xdr:colOff>158750</xdr:colOff>
      <xdr:row>0</xdr:row>
      <xdr:rowOff>38100</xdr:rowOff>
    </xdr:from>
    <xdr:to>
      <xdr:col>188</xdr:col>
      <xdr:colOff>1295400</xdr:colOff>
      <xdr:row>1</xdr:row>
      <xdr:rowOff>134845</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517800" y="38100"/>
          <a:ext cx="1136650" cy="503145"/>
        </a:xfrm>
        <a:prstGeom prst="rect">
          <a:avLst/>
        </a:prstGeom>
        <a:effectLst/>
      </xdr:spPr>
    </xdr:pic>
    <xdr:clientData/>
  </xdr:twoCellAnchor>
  <xdr:twoCellAnchor editAs="oneCell">
    <xdr:from>
      <xdr:col>4</xdr:col>
      <xdr:colOff>209549</xdr:colOff>
      <xdr:row>2</xdr:row>
      <xdr:rowOff>6350</xdr:rowOff>
    </xdr:from>
    <xdr:to>
      <xdr:col>4</xdr:col>
      <xdr:colOff>1428894</xdr:colOff>
      <xdr:row>4</xdr:row>
      <xdr:rowOff>158750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0222" y="602095"/>
          <a:ext cx="1219345" cy="547255"/>
        </a:xfrm>
        <a:prstGeom prst="rect">
          <a:avLst/>
        </a:prstGeom>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S1471"/>
  <sheetViews>
    <sheetView showGridLines="0" showRowColHeaders="0" tabSelected="1" zoomScale="110" zoomScaleNormal="110" workbookViewId="0">
      <selection activeCell="C3" sqref="C3"/>
    </sheetView>
  </sheetViews>
  <sheetFormatPr defaultRowHeight="15" x14ac:dyDescent="0.25"/>
  <cols>
    <col min="1" max="1" width="5.28515625" customWidth="1"/>
    <col min="3" max="3" width="26.7109375" customWidth="1"/>
    <col min="4" max="4" width="12.28515625" customWidth="1"/>
    <col min="5" max="5" width="25.140625" customWidth="1"/>
    <col min="6" max="6" width="10.7109375" customWidth="1"/>
    <col min="7" max="7" width="30.28515625" customWidth="1"/>
    <col min="8" max="8" width="10" customWidth="1"/>
    <col min="9" max="9" width="9.28515625" customWidth="1"/>
    <col min="10" max="10" width="8.28515625" customWidth="1"/>
    <col min="11" max="11" width="20" customWidth="1"/>
    <col min="12" max="12" width="10.85546875" customWidth="1"/>
    <col min="14" max="14" width="8.85546875" customWidth="1"/>
    <col min="15" max="17" width="8.85546875" style="308" hidden="1" customWidth="1"/>
    <col min="18" max="26" width="8.85546875" hidden="1" customWidth="1"/>
    <col min="27" max="27" width="14.28515625" hidden="1" customWidth="1"/>
    <col min="28" max="28" width="9.7109375" hidden="1" customWidth="1"/>
    <col min="29" max="29" width="10" hidden="1" customWidth="1"/>
    <col min="30" max="30" width="8.85546875" hidden="1" customWidth="1"/>
    <col min="31" max="32" width="15.7109375" hidden="1" customWidth="1"/>
    <col min="33" max="33" width="27.28515625" hidden="1" customWidth="1"/>
    <col min="34" max="34" width="8.85546875" style="24" hidden="1" customWidth="1"/>
    <col min="35" max="35" width="18.28515625" style="24" hidden="1" customWidth="1"/>
    <col min="36" max="36" width="13.5703125" hidden="1" customWidth="1"/>
    <col min="37" max="37" width="23.28515625" hidden="1" customWidth="1"/>
    <col min="38" max="38" width="5.28515625" hidden="1" customWidth="1"/>
    <col min="39" max="39" width="18" hidden="1" customWidth="1"/>
    <col min="40" max="43" width="8.85546875" hidden="1" customWidth="1"/>
    <col min="44" max="44" width="13.5703125" hidden="1" customWidth="1"/>
    <col min="45" max="45" width="8.85546875" hidden="1" customWidth="1"/>
    <col min="46" max="46" width="29.28515625" hidden="1" customWidth="1"/>
    <col min="47" max="48" width="24.28515625" hidden="1" customWidth="1"/>
    <col min="49" max="49" width="27" hidden="1" customWidth="1"/>
    <col min="50" max="50" width="23.28515625" hidden="1" customWidth="1"/>
    <col min="51" max="52" width="8.85546875" hidden="1" customWidth="1"/>
    <col min="53" max="53" width="16.28515625" hidden="1" customWidth="1"/>
    <col min="54" max="54" width="3" hidden="1" customWidth="1"/>
    <col min="55" max="55" width="23.7109375" hidden="1" customWidth="1"/>
    <col min="56" max="56" width="26.7109375" hidden="1" customWidth="1"/>
    <col min="57" max="57" width="11.85546875" hidden="1" customWidth="1"/>
    <col min="58" max="58" width="4.28515625" hidden="1" customWidth="1"/>
    <col min="59" max="59" width="8.85546875" hidden="1" customWidth="1"/>
    <col min="60" max="60" width="26.7109375" hidden="1" customWidth="1"/>
    <col min="61" max="61" width="8.85546875" hidden="1" customWidth="1"/>
    <col min="62" max="62" width="3.7109375" hidden="1" customWidth="1"/>
    <col min="63" max="63" width="8.85546875" hidden="1" customWidth="1"/>
    <col min="64" max="64" width="30.85546875" hidden="1" customWidth="1"/>
    <col min="65" max="65" width="8.85546875" hidden="1" customWidth="1"/>
    <col min="66" max="66" width="4.7109375" hidden="1" customWidth="1"/>
    <col min="67" max="67" width="8.85546875" hidden="1" customWidth="1"/>
    <col min="68" max="68" width="26.7109375" hidden="1" customWidth="1"/>
    <col min="69" max="69" width="8.42578125" style="24" hidden="1" customWidth="1"/>
    <col min="70" max="70" width="16.5703125" style="24" hidden="1" customWidth="1"/>
    <col min="71" max="71" width="21.85546875" style="24" hidden="1" customWidth="1"/>
    <col min="72" max="73" width="16.5703125" style="234" hidden="1" customWidth="1"/>
    <col min="74" max="74" width="21.85546875" style="234" hidden="1" customWidth="1"/>
    <col min="75" max="75" width="16.5703125" style="234" hidden="1" customWidth="1"/>
    <col min="76" max="76" width="18.28515625" style="234" hidden="1" customWidth="1"/>
    <col min="77" max="77" width="22" style="234" hidden="1" customWidth="1"/>
    <col min="78" max="78" width="17.42578125" style="234" hidden="1" customWidth="1"/>
    <col min="79" max="79" width="14.85546875" style="234" hidden="1" customWidth="1"/>
    <col min="80" max="80" width="5.28515625" style="234" hidden="1" customWidth="1"/>
    <col min="81" max="81" width="28.7109375" style="243" hidden="1" customWidth="1"/>
    <col min="82" max="82" width="14.85546875" style="235" hidden="1" customWidth="1"/>
    <col min="83" max="83" width="5.85546875" style="234" hidden="1" customWidth="1"/>
    <col min="84" max="84" width="14.28515625" style="234" hidden="1" customWidth="1"/>
    <col min="85" max="87" width="16.5703125" style="24" hidden="1" customWidth="1"/>
    <col min="88" max="88" width="13.7109375" style="24" hidden="1" customWidth="1"/>
    <col min="89" max="89" width="12.85546875" style="24" hidden="1" customWidth="1"/>
    <col min="90" max="90" width="16.5703125" style="24" hidden="1" customWidth="1"/>
    <col min="91" max="91" width="11.140625" style="288" hidden="1" customWidth="1"/>
    <col min="92" max="92" width="15.28515625" style="27" hidden="1" customWidth="1"/>
    <col min="93" max="93" width="16.5703125" hidden="1" customWidth="1"/>
    <col min="94" max="94" width="21.5703125" hidden="1" customWidth="1"/>
    <col min="95" max="96" width="14.28515625" hidden="1" customWidth="1"/>
    <col min="97" max="97" width="14.140625" hidden="1" customWidth="1"/>
    <col min="98" max="98" width="12.7109375" hidden="1" customWidth="1"/>
    <col min="99" max="99" width="13.28515625" style="24" hidden="1" customWidth="1"/>
    <col min="100" max="102" width="12.85546875" hidden="1" customWidth="1"/>
    <col min="103" max="105" width="9.85546875" hidden="1" customWidth="1"/>
    <col min="106" max="106" width="8.85546875" hidden="1" customWidth="1"/>
    <col min="107" max="107" width="18.28515625" hidden="1" customWidth="1"/>
    <col min="108" max="108" width="8.85546875" style="31" hidden="1" customWidth="1"/>
    <col min="109" max="111" width="8.85546875" hidden="1" customWidth="1"/>
    <col min="112" max="112" width="33.28515625" hidden="1" customWidth="1"/>
    <col min="113" max="113" width="8.85546875" style="31" hidden="1" customWidth="1"/>
    <col min="114" max="117" width="8.85546875" hidden="1" customWidth="1"/>
    <col min="118" max="118" width="17.140625" hidden="1" customWidth="1"/>
    <col min="119" max="119" width="8.140625" hidden="1" customWidth="1"/>
    <col min="120" max="120" width="4.7109375" hidden="1" customWidth="1"/>
    <col min="121" max="121" width="23.28515625" hidden="1" customWidth="1"/>
    <col min="122" max="123" width="21.5703125" hidden="1" customWidth="1"/>
    <col min="124" max="125" width="23.28515625" hidden="1" customWidth="1"/>
    <col min="126" max="126" width="25.42578125" hidden="1" customWidth="1"/>
    <col min="127" max="127" width="13.42578125" hidden="1" customWidth="1"/>
    <col min="128" max="128" width="21.5703125" hidden="1" customWidth="1"/>
    <col min="129" max="129" width="23.28515625" hidden="1" customWidth="1"/>
    <col min="130" max="130" width="23.7109375" hidden="1" customWidth="1"/>
    <col min="131" max="131" width="23.28515625" hidden="1" customWidth="1"/>
    <col min="132" max="133" width="16.140625" hidden="1" customWidth="1"/>
    <col min="134" max="134" width="22.7109375" hidden="1" customWidth="1"/>
    <col min="135" max="135" width="11.7109375" hidden="1" customWidth="1"/>
    <col min="136" max="136" width="10.28515625" hidden="1" customWidth="1"/>
    <col min="137" max="137" width="8.42578125" hidden="1" customWidth="1"/>
    <col min="138" max="139" width="6.28515625" hidden="1" customWidth="1"/>
    <col min="140" max="141" width="6.28515625" style="19" hidden="1" customWidth="1"/>
    <col min="142" max="142" width="14.7109375" style="43" hidden="1" customWidth="1"/>
    <col min="143" max="143" width="24.7109375" hidden="1" customWidth="1"/>
    <col min="144" max="144" width="14.42578125" style="331" hidden="1" customWidth="1"/>
    <col min="145" max="145" width="19.42578125" hidden="1" customWidth="1"/>
    <col min="146" max="146" width="21.28515625" hidden="1" customWidth="1"/>
    <col min="147" max="147" width="12.85546875" hidden="1" customWidth="1"/>
    <col min="148" max="148" width="16.5703125" hidden="1" customWidth="1"/>
    <col min="149" max="149" width="21.28515625" hidden="1" customWidth="1"/>
    <col min="150" max="150" width="18.7109375" hidden="1" customWidth="1"/>
    <col min="151" max="151" width="17.28515625" hidden="1" customWidth="1"/>
    <col min="152" max="152" width="6.28515625" hidden="1" customWidth="1"/>
    <col min="153" max="154" width="8.85546875" hidden="1" customWidth="1"/>
    <col min="155" max="155" width="15.42578125" hidden="1" customWidth="1"/>
    <col min="156" max="156" width="11.42578125" hidden="1" customWidth="1"/>
    <col min="157" max="157" width="21.7109375" hidden="1" customWidth="1"/>
    <col min="158" max="158" width="9.28515625" hidden="1" customWidth="1"/>
    <col min="159" max="159" width="30.42578125" hidden="1" customWidth="1"/>
    <col min="160" max="161" width="8.85546875" hidden="1" customWidth="1"/>
    <col min="162" max="162" width="26.7109375" hidden="1" customWidth="1"/>
    <col min="163" max="163" width="11.28515625" hidden="1" customWidth="1"/>
    <col min="164" max="164" width="13.42578125" hidden="1" customWidth="1"/>
    <col min="165" max="165" width="18.28515625" hidden="1" customWidth="1"/>
    <col min="166" max="166" width="8.85546875" hidden="1" customWidth="1"/>
    <col min="167" max="167" width="15.28515625" hidden="1" customWidth="1"/>
    <col min="168" max="168" width="8.85546875" hidden="1" customWidth="1"/>
    <col min="169" max="169" width="15.5703125" hidden="1" customWidth="1"/>
    <col min="170" max="170" width="16.5703125" hidden="1" customWidth="1"/>
    <col min="171" max="177" width="18.28515625" hidden="1" customWidth="1"/>
    <col min="178" max="178" width="19.7109375" customWidth="1"/>
    <col min="179" max="179" width="22.42578125" bestFit="1" customWidth="1"/>
    <col min="180" max="180" width="26.140625" bestFit="1" customWidth="1"/>
    <col min="181" max="181" width="17" bestFit="1" customWidth="1"/>
    <col min="186" max="186" width="20.28515625" customWidth="1"/>
    <col min="187" max="187" width="22.7109375" style="24" customWidth="1"/>
    <col min="188" max="199" width="20.7109375" style="24" customWidth="1"/>
  </cols>
  <sheetData>
    <row r="1" spans="1:200" ht="31.9" customHeight="1" x14ac:dyDescent="0.5">
      <c r="B1" s="103" t="s">
        <v>1093</v>
      </c>
      <c r="C1" s="165"/>
      <c r="G1" s="22"/>
      <c r="I1" s="192"/>
      <c r="J1" s="19"/>
      <c r="K1" s="293"/>
      <c r="L1" s="365" t="s">
        <v>1158</v>
      </c>
      <c r="N1" s="107"/>
      <c r="O1" s="309" t="s">
        <v>1192</v>
      </c>
      <c r="P1" s="307"/>
      <c r="Q1" s="307"/>
      <c r="R1" s="114"/>
      <c r="S1" s="121" t="s">
        <v>654</v>
      </c>
      <c r="T1" s="114"/>
      <c r="U1" s="292"/>
      <c r="V1" s="291"/>
      <c r="W1" s="114"/>
      <c r="X1" s="114"/>
      <c r="Y1" s="114"/>
      <c r="Z1" s="114"/>
      <c r="AA1" s="114"/>
      <c r="AB1" s="114"/>
      <c r="AC1" s="114"/>
      <c r="AD1" s="114"/>
      <c r="AE1" s="114"/>
      <c r="AF1" s="114"/>
      <c r="AG1" s="120" t="s">
        <v>653</v>
      </c>
      <c r="AH1" s="42" t="s">
        <v>884</v>
      </c>
      <c r="AI1" s="42" t="s">
        <v>884</v>
      </c>
      <c r="AJ1" s="114" t="s">
        <v>616</v>
      </c>
      <c r="AK1" s="114"/>
      <c r="AL1" s="114"/>
      <c r="AM1" s="114" t="s">
        <v>999</v>
      </c>
      <c r="AN1" s="114"/>
      <c r="AO1" s="114"/>
      <c r="AP1" s="114"/>
      <c r="AQ1" s="114"/>
      <c r="AR1" s="114"/>
      <c r="AS1" s="114"/>
      <c r="AT1" s="134">
        <f>IF(AT2&lt;&gt;$C$2,0,IF(ISERROR(MATCH($C$3,AT3:AT58,0))=FALSE,0,1))</f>
        <v>1</v>
      </c>
      <c r="AU1" s="134">
        <f>IF(AU2&lt;&gt;$C$2,0,IF(ISERROR(MATCH($C$3,AU3:AU30,0))=FALSE,0,1))</f>
        <v>0</v>
      </c>
      <c r="AV1" s="134">
        <f>IF(AV2&lt;&gt;$C$2,0,IF(ISERROR(MATCH($C$3,AV3:AV31,0))=FALSE,0,1))</f>
        <v>0</v>
      </c>
      <c r="AW1" s="134">
        <f>IF(AW2&lt;&gt;$C$2,0,IF(ISERROR(MATCH($C$3,AW3:AW27,0))=FALSE,0,1))</f>
        <v>0</v>
      </c>
      <c r="AX1" s="134">
        <f>IF(AX2&lt;&gt;$C$2,0,IF(ISERROR(MATCH($C$3,AX3:AX27,0))=FALSE,0,1))</f>
        <v>0</v>
      </c>
      <c r="AY1" s="135">
        <f>SUM(AT1:AX1)</f>
        <v>1</v>
      </c>
      <c r="AZ1" s="114"/>
      <c r="BA1" s="121" t="s">
        <v>652</v>
      </c>
      <c r="BB1" s="121"/>
      <c r="BC1" s="114"/>
      <c r="BD1" s="114" t="s">
        <v>5</v>
      </c>
      <c r="BE1" s="114"/>
      <c r="BF1" s="114"/>
      <c r="BG1" s="114"/>
      <c r="BH1" s="115" t="s">
        <v>6</v>
      </c>
      <c r="BI1" s="115"/>
      <c r="BJ1" s="114"/>
      <c r="BK1" s="114"/>
      <c r="BL1" s="115" t="s">
        <v>7</v>
      </c>
      <c r="BM1" s="114"/>
      <c r="BN1" s="114"/>
      <c r="BO1" s="114"/>
      <c r="BP1" s="114" t="s">
        <v>8</v>
      </c>
      <c r="BQ1" s="42"/>
      <c r="BR1" s="42"/>
      <c r="BS1" s="42" t="s">
        <v>657</v>
      </c>
      <c r="BT1" s="230"/>
      <c r="BU1" s="299" t="s">
        <v>661</v>
      </c>
      <c r="BV1" s="231">
        <v>1200102</v>
      </c>
      <c r="BW1" s="231" t="s">
        <v>352</v>
      </c>
      <c r="BX1" s="232" t="s">
        <v>353</v>
      </c>
      <c r="BY1" s="231" t="s">
        <v>354</v>
      </c>
      <c r="BZ1" s="231" t="s">
        <v>355</v>
      </c>
      <c r="CA1" s="231" t="s">
        <v>662</v>
      </c>
      <c r="CB1" s="231"/>
      <c r="CC1" s="372" t="s">
        <v>1005</v>
      </c>
      <c r="CD1" s="372"/>
      <c r="CE1" s="230"/>
      <c r="CF1" s="233"/>
      <c r="CG1" s="129" t="s">
        <v>404</v>
      </c>
      <c r="CH1" s="182" t="s">
        <v>405</v>
      </c>
      <c r="CI1" s="129" t="s">
        <v>406</v>
      </c>
      <c r="CJ1" s="129" t="s">
        <v>407</v>
      </c>
      <c r="CK1" s="129" t="s">
        <v>754</v>
      </c>
      <c r="CL1" s="42"/>
      <c r="CM1" s="289" t="s">
        <v>18</v>
      </c>
      <c r="CN1" s="116"/>
      <c r="CO1" s="114"/>
      <c r="CP1" s="114"/>
      <c r="CQ1" s="114" t="s">
        <v>838</v>
      </c>
      <c r="CR1" s="42" t="s">
        <v>838</v>
      </c>
      <c r="CS1" s="42" t="s">
        <v>838</v>
      </c>
      <c r="CT1" s="42" t="s">
        <v>838</v>
      </c>
      <c r="CU1" s="42" t="s">
        <v>838</v>
      </c>
      <c r="CV1" s="42" t="s">
        <v>838</v>
      </c>
      <c r="CW1" s="42" t="s">
        <v>838</v>
      </c>
      <c r="CX1" s="42" t="s">
        <v>838</v>
      </c>
      <c r="CY1" s="42" t="s">
        <v>860</v>
      </c>
      <c r="CZ1" s="42" t="s">
        <v>854</v>
      </c>
      <c r="DA1" s="42"/>
      <c r="DB1" s="114"/>
      <c r="DC1" s="121" t="s">
        <v>18</v>
      </c>
      <c r="DD1" s="117"/>
      <c r="DE1" s="114"/>
      <c r="DF1" s="24" t="s">
        <v>545</v>
      </c>
      <c r="DG1" s="42" t="s">
        <v>857</v>
      </c>
      <c r="DH1" s="121" t="s">
        <v>373</v>
      </c>
      <c r="DI1" s="117"/>
      <c r="DJ1" s="114"/>
      <c r="DK1" s="114"/>
      <c r="DL1" s="114"/>
      <c r="DM1" s="114"/>
      <c r="DN1" s="121" t="s">
        <v>885</v>
      </c>
      <c r="DO1" s="114"/>
      <c r="DP1" s="114"/>
      <c r="DQ1" s="118"/>
      <c r="DR1" s="119"/>
      <c r="DS1" s="119"/>
      <c r="DT1" s="122" t="s">
        <v>874</v>
      </c>
      <c r="DU1" s="119"/>
      <c r="DV1" s="119"/>
      <c r="DW1" s="119"/>
      <c r="DX1" s="114"/>
      <c r="DY1" s="114"/>
      <c r="DZ1" s="114"/>
      <c r="EA1" s="114"/>
      <c r="EB1" s="121"/>
      <c r="EC1" s="121" t="s">
        <v>862</v>
      </c>
      <c r="ED1" s="114"/>
      <c r="EE1" s="114"/>
      <c r="EF1" s="114"/>
      <c r="EG1" s="114"/>
      <c r="EH1" s="114"/>
      <c r="EI1" s="114"/>
      <c r="EJ1" s="122"/>
      <c r="EK1" s="119"/>
      <c r="EL1" s="122" t="s">
        <v>408</v>
      </c>
      <c r="EM1" s="114"/>
      <c r="EN1" s="42"/>
      <c r="EO1" s="114"/>
      <c r="EP1" s="114"/>
      <c r="EQ1" s="114"/>
      <c r="ER1" s="114"/>
      <c r="ES1" s="114"/>
      <c r="ET1" s="114"/>
      <c r="EU1" s="114"/>
      <c r="EV1" s="114"/>
      <c r="EW1" s="121" t="s">
        <v>500</v>
      </c>
      <c r="EX1" s="114"/>
      <c r="EY1" s="114"/>
      <c r="EZ1" s="114"/>
      <c r="FA1" s="114"/>
      <c r="FB1" s="114"/>
      <c r="FC1" s="114"/>
      <c r="FD1" s="114"/>
      <c r="FE1" s="114"/>
      <c r="FF1" s="114"/>
      <c r="FG1" s="114"/>
      <c r="FH1" s="114"/>
      <c r="FI1" s="114"/>
      <c r="FJ1" s="114"/>
      <c r="FK1" s="114"/>
      <c r="FL1" s="114"/>
      <c r="FM1" s="114"/>
      <c r="FN1" s="121" t="s">
        <v>1001</v>
      </c>
      <c r="FO1" s="114"/>
      <c r="FP1" s="114"/>
      <c r="FQ1" s="114"/>
      <c r="FR1" s="121" t="s">
        <v>1220</v>
      </c>
      <c r="FS1" s="114"/>
      <c r="FT1" s="114"/>
      <c r="FU1" s="114"/>
      <c r="GD1" s="87" t="str">
        <f>IF(G2="","",CONCATENATE("Dealer is ",G2))</f>
        <v/>
      </c>
      <c r="GE1" s="366" t="e">
        <f ca="1">IF(X26&gt;0,"Configuration has errors",CONCATENATE(F4,"   "))</f>
        <v>#N/A</v>
      </c>
      <c r="GF1" s="367">
        <f>G4</f>
        <v>0</v>
      </c>
    </row>
    <row r="2" spans="1:200" ht="15.75" thickBot="1" x14ac:dyDescent="0.3">
      <c r="B2" s="49" t="s">
        <v>0</v>
      </c>
      <c r="C2" s="200" t="s">
        <v>5</v>
      </c>
      <c r="D2" s="370" t="str">
        <f>IF($AM$30&gt;0,"  Finish Available While Supplies Last","")</f>
        <v/>
      </c>
      <c r="E2" s="371"/>
      <c r="F2" s="298" t="s">
        <v>3</v>
      </c>
      <c r="G2" s="89"/>
      <c r="H2" s="191" t="s">
        <v>965</v>
      </c>
      <c r="I2" s="48"/>
      <c r="J2" s="19"/>
      <c r="K2" s="19"/>
      <c r="L2" s="19"/>
      <c r="S2" s="22" t="s">
        <v>1154</v>
      </c>
      <c r="AE2" s="6" t="s">
        <v>0</v>
      </c>
      <c r="AF2" s="6" t="s">
        <v>110</v>
      </c>
      <c r="AG2" s="31" t="s">
        <v>361</v>
      </c>
      <c r="AH2" s="90" t="s">
        <v>814</v>
      </c>
      <c r="AI2" s="79" t="s">
        <v>484</v>
      </c>
      <c r="AJ2" t="s">
        <v>426</v>
      </c>
      <c r="AK2" s="32" t="s">
        <v>613</v>
      </c>
      <c r="AL2" s="27"/>
      <c r="AM2" s="31"/>
      <c r="AN2" s="90" t="s">
        <v>19</v>
      </c>
      <c r="AO2" s="90" t="s">
        <v>21</v>
      </c>
      <c r="AP2" s="90" t="s">
        <v>20</v>
      </c>
      <c r="AQ2" s="90" t="s">
        <v>22</v>
      </c>
      <c r="AR2" s="31" t="s">
        <v>881</v>
      </c>
      <c r="AS2" s="27"/>
      <c r="AT2" s="6" t="s">
        <v>5</v>
      </c>
      <c r="AU2" s="7" t="s">
        <v>6</v>
      </c>
      <c r="AV2" s="6" t="s">
        <v>7</v>
      </c>
      <c r="AW2" s="6" t="s">
        <v>8</v>
      </c>
      <c r="AX2" s="6" t="s">
        <v>657</v>
      </c>
      <c r="BA2" s="26" t="s">
        <v>938</v>
      </c>
      <c r="BB2" s="26"/>
      <c r="BC2" s="26" t="s">
        <v>111</v>
      </c>
      <c r="BD2" s="11" t="s">
        <v>95</v>
      </c>
      <c r="BE2" s="12"/>
      <c r="BF2" t="s">
        <v>545</v>
      </c>
      <c r="BG2" s="15" t="s">
        <v>111</v>
      </c>
      <c r="BH2" s="11" t="s">
        <v>96</v>
      </c>
      <c r="BK2" s="15" t="s">
        <v>111</v>
      </c>
      <c r="BL2" s="6" t="s">
        <v>97</v>
      </c>
      <c r="BO2" s="15" t="s">
        <v>111</v>
      </c>
      <c r="BP2" s="6" t="s">
        <v>98</v>
      </c>
      <c r="BR2" s="15" t="s">
        <v>111</v>
      </c>
      <c r="BS2" s="6" t="s">
        <v>755</v>
      </c>
      <c r="BU2" s="235" t="s">
        <v>649</v>
      </c>
      <c r="BV2" s="235" t="s">
        <v>663</v>
      </c>
      <c r="BW2" s="236" t="s">
        <v>730</v>
      </c>
      <c r="BX2" s="236" t="s">
        <v>731</v>
      </c>
      <c r="BY2" s="236" t="s">
        <v>398</v>
      </c>
      <c r="BZ2" s="236" t="s">
        <v>391</v>
      </c>
      <c r="CA2" s="236" t="s">
        <v>732</v>
      </c>
      <c r="CB2" s="236"/>
      <c r="CC2" s="237" t="s">
        <v>653</v>
      </c>
      <c r="CE2" s="236"/>
      <c r="CF2" s="235" t="s">
        <v>649</v>
      </c>
      <c r="CG2" s="126" t="s">
        <v>730</v>
      </c>
      <c r="CH2" s="126" t="s">
        <v>731</v>
      </c>
      <c r="CI2" s="126" t="s">
        <v>398</v>
      </c>
      <c r="CJ2" s="126" t="s">
        <v>391</v>
      </c>
      <c r="CK2" s="126" t="s">
        <v>732</v>
      </c>
      <c r="CM2" s="65" t="s">
        <v>16</v>
      </c>
      <c r="CN2" s="27" t="s">
        <v>509</v>
      </c>
      <c r="CO2" t="s">
        <v>17</v>
      </c>
      <c r="CP2" t="s">
        <v>513</v>
      </c>
      <c r="CQ2" s="285" t="s">
        <v>831</v>
      </c>
      <c r="CR2" s="285" t="s">
        <v>829</v>
      </c>
      <c r="CS2" s="285" t="s">
        <v>731</v>
      </c>
      <c r="CT2" s="285" t="s">
        <v>830</v>
      </c>
      <c r="CU2" s="285" t="s">
        <v>832</v>
      </c>
      <c r="CV2" s="285" t="s">
        <v>833</v>
      </c>
      <c r="CW2" s="285" t="s">
        <v>1110</v>
      </c>
      <c r="CX2" s="285" t="s">
        <v>1111</v>
      </c>
      <c r="CY2" s="42" t="s">
        <v>545</v>
      </c>
      <c r="CZ2" s="42" t="s">
        <v>1243</v>
      </c>
      <c r="DA2" s="80"/>
      <c r="DB2" s="107"/>
      <c r="DD2" s="90" t="s">
        <v>14</v>
      </c>
      <c r="DE2" s="31" t="s">
        <v>15</v>
      </c>
      <c r="DF2" s="24" t="s">
        <v>18</v>
      </c>
      <c r="DG2" s="42" t="s">
        <v>373</v>
      </c>
      <c r="DH2" t="s">
        <v>919</v>
      </c>
      <c r="DI2" s="90" t="s">
        <v>14</v>
      </c>
      <c r="DJ2" s="31" t="s">
        <v>15</v>
      </c>
      <c r="DK2" s="24" t="s">
        <v>641</v>
      </c>
      <c r="DL2" s="24"/>
      <c r="DM2" s="24" t="s">
        <v>949</v>
      </c>
      <c r="DN2" s="27" t="s">
        <v>550</v>
      </c>
      <c r="DQ2" s="32"/>
      <c r="DR2" s="33"/>
      <c r="DS2" s="33"/>
      <c r="DT2" s="32"/>
      <c r="DU2" s="32"/>
      <c r="DV2" s="32"/>
      <c r="DW2" s="32"/>
      <c r="DX2" s="32"/>
      <c r="DY2" s="32"/>
      <c r="DZ2" s="32"/>
      <c r="EA2" s="32"/>
      <c r="EB2" s="32"/>
      <c r="EC2" s="32"/>
      <c r="ED2" s="32"/>
      <c r="EE2" s="32"/>
      <c r="EL2" s="52"/>
      <c r="EV2" s="60">
        <v>2</v>
      </c>
      <c r="EW2" s="19"/>
      <c r="EX2" s="19" t="str">
        <f t="shared" ref="EX2:EY4" si="0">B2</f>
        <v>Shell</v>
      </c>
      <c r="EY2" s="19" t="str">
        <f t="shared" si="0"/>
        <v>Classic Maple</v>
      </c>
      <c r="EZ2" s="19"/>
      <c r="FA2" s="19"/>
      <c r="FE2" s="23" t="s">
        <v>507</v>
      </c>
      <c r="FR2" t="s">
        <v>1257</v>
      </c>
      <c r="GD2" s="25" t="str">
        <f>CONCATENATE("PO #: ",$G$3)</f>
        <v xml:space="preserve">PO #: </v>
      </c>
      <c r="GE2" s="183" t="str">
        <f>IF($AM$30&gt;0,"Finish Available While Supplies Last","")</f>
        <v/>
      </c>
      <c r="GF2" s="81"/>
      <c r="GG2" s="81" t="s">
        <v>970</v>
      </c>
      <c r="GH2" s="81" t="s">
        <v>971</v>
      </c>
      <c r="GI2" s="81" t="s">
        <v>972</v>
      </c>
      <c r="GJ2" s="81" t="s">
        <v>973</v>
      </c>
      <c r="GK2" s="81" t="s">
        <v>974</v>
      </c>
      <c r="GL2" s="81" t="s">
        <v>975</v>
      </c>
      <c r="GM2" s="81" t="s">
        <v>976</v>
      </c>
      <c r="GN2" s="81" t="s">
        <v>977</v>
      </c>
      <c r="GO2" s="81" t="s">
        <v>978</v>
      </c>
      <c r="GP2" s="81" t="s">
        <v>979</v>
      </c>
      <c r="GQ2" s="81" t="s">
        <v>980</v>
      </c>
    </row>
    <row r="3" spans="1:200" ht="15.75" thickBot="1" x14ac:dyDescent="0.3">
      <c r="B3" s="49" t="s">
        <v>1</v>
      </c>
      <c r="C3" s="200"/>
      <c r="D3" s="22" t="str">
        <f>IF(AND(C3&lt;&gt;"",AY1=1),"Shell/Finish Error","")</f>
        <v/>
      </c>
      <c r="E3" s="209"/>
      <c r="F3" s="298" t="s">
        <v>4</v>
      </c>
      <c r="G3" s="89"/>
      <c r="H3" s="191" t="s">
        <v>966</v>
      </c>
      <c r="I3" s="191"/>
      <c r="J3" s="19"/>
      <c r="K3" s="19"/>
      <c r="L3" s="19"/>
      <c r="S3" t="s">
        <v>1088</v>
      </c>
      <c r="V3" s="187" t="s">
        <v>1155</v>
      </c>
      <c r="W3" t="s">
        <v>1156</v>
      </c>
      <c r="AC3" s="288" t="s">
        <v>730</v>
      </c>
      <c r="AD3">
        <f>IF($C$2=AE3,1,0)</f>
        <v>1</v>
      </c>
      <c r="AE3" t="s">
        <v>5</v>
      </c>
      <c r="AF3" t="s">
        <v>91</v>
      </c>
      <c r="AG3" s="144" t="s">
        <v>427</v>
      </c>
      <c r="AH3" s="146" t="s">
        <v>815</v>
      </c>
      <c r="AI3" s="45" t="s">
        <v>410</v>
      </c>
      <c r="AJ3" s="147" t="s">
        <v>620</v>
      </c>
      <c r="AK3" s="148" t="s">
        <v>427</v>
      </c>
      <c r="AL3" s="28"/>
      <c r="AM3" s="157" t="s">
        <v>818</v>
      </c>
      <c r="AN3" s="146">
        <f>CD3</f>
        <v>0</v>
      </c>
      <c r="AO3" s="146">
        <f>CD4</f>
        <v>0</v>
      </c>
      <c r="AP3" s="146">
        <f>CD5</f>
        <v>0</v>
      </c>
      <c r="AQ3" s="146">
        <f>CD6</f>
        <v>0</v>
      </c>
      <c r="AR3" s="144" t="s">
        <v>878</v>
      </c>
      <c r="AS3" s="28"/>
      <c r="AT3" s="1" t="s">
        <v>473</v>
      </c>
      <c r="AU3" s="4" t="s">
        <v>427</v>
      </c>
      <c r="AV3" s="2" t="s">
        <v>427</v>
      </c>
      <c r="AW3" s="9" t="s">
        <v>473</v>
      </c>
      <c r="AX3" s="2" t="s">
        <v>427</v>
      </c>
      <c r="BA3" s="12" t="s">
        <v>24</v>
      </c>
      <c r="BB3" s="12"/>
      <c r="BC3" s="13" t="str">
        <f>BD$1&amp;" "&amp;BD3</f>
        <v>Classic Maple 12x18 Bass Drum</v>
      </c>
      <c r="BD3" s="12" t="s">
        <v>24</v>
      </c>
      <c r="BE3" s="101"/>
      <c r="BG3" s="13" t="str">
        <f>BH$1&amp;" "&amp;BH3</f>
        <v>Legacy Maple 12x18 Bass Drum</v>
      </c>
      <c r="BH3" s="12" t="s">
        <v>24</v>
      </c>
      <c r="BI3" s="98"/>
      <c r="BK3" s="13" t="str">
        <f>BL$1&amp;" "&amp;BL3</f>
        <v>Legacy Mahogany 12x18 Bass Drum</v>
      </c>
      <c r="BL3" s="12" t="s">
        <v>24</v>
      </c>
      <c r="BM3" s="98"/>
      <c r="BN3" s="16"/>
      <c r="BO3" s="13" t="str">
        <f>BP$1&amp;" "&amp;BP3</f>
        <v>Legacy Exotic 12x18 Bass Drum</v>
      </c>
      <c r="BP3" s="12" t="s">
        <v>24</v>
      </c>
      <c r="BQ3" s="94"/>
      <c r="BR3" s="128" t="s">
        <v>683</v>
      </c>
      <c r="BS3" s="12" t="s">
        <v>24</v>
      </c>
      <c r="BT3" s="238"/>
      <c r="BU3" s="239" t="s">
        <v>24</v>
      </c>
      <c r="BV3" s="240" t="s">
        <v>683</v>
      </c>
      <c r="BW3" s="241">
        <f t="shared" ref="BW3:CA12" si="1">INDEX($BV:$CA,MATCH(CONCATENATE("D",".",BW$2,".",$BV3,".",$BV$1),$BV:$BV,0),MATCH("Result",$BV$85:$CA$85,0))</f>
        <v>1602</v>
      </c>
      <c r="BX3" s="241">
        <f t="shared" si="1"/>
        <v>2546</v>
      </c>
      <c r="BY3" s="241">
        <f t="shared" si="1"/>
        <v>2546</v>
      </c>
      <c r="BZ3" s="241">
        <f t="shared" si="1"/>
        <v>2641</v>
      </c>
      <c r="CA3" s="241">
        <f t="shared" si="1"/>
        <v>1514</v>
      </c>
      <c r="CB3" s="242"/>
      <c r="CC3" s="243" t="s">
        <v>1006</v>
      </c>
      <c r="CD3" s="313">
        <v>0</v>
      </c>
      <c r="CE3" s="242"/>
      <c r="CF3" s="239" t="str">
        <f t="shared" ref="CF3:CF11" si="2">BU3</f>
        <v>12x18 Bass Drum</v>
      </c>
      <c r="CG3" s="130" t="s">
        <v>116</v>
      </c>
      <c r="CH3" s="130" t="s">
        <v>178</v>
      </c>
      <c r="CI3" s="130" t="s">
        <v>236</v>
      </c>
      <c r="CJ3" s="130" t="s">
        <v>294</v>
      </c>
      <c r="CK3" s="130" t="s">
        <v>759</v>
      </c>
      <c r="CL3" s="94"/>
      <c r="CM3" s="288" t="s">
        <v>19</v>
      </c>
      <c r="CN3" s="27" t="str">
        <f t="shared" ref="CN3:CN69" si="3">CONCATENATE(CM3,".",CO3)</f>
        <v>Bass.12x18 Bass Drum</v>
      </c>
      <c r="CO3" s="12" t="s">
        <v>24</v>
      </c>
      <c r="CP3" s="93" t="str">
        <f t="shared" ref="CP3:CP29" si="4">CONCATENATE(CQ3,CR3,CS3,CT3,CU3,CV3,CW3,CX3)</f>
        <v>MLLCLL</v>
      </c>
      <c r="CQ3" s="285" t="s">
        <v>831</v>
      </c>
      <c r="CR3" s="285" t="s">
        <v>829</v>
      </c>
      <c r="CS3" s="285" t="s">
        <v>731</v>
      </c>
      <c r="CT3" s="285"/>
      <c r="CU3" s="285"/>
      <c r="CV3" s="285"/>
      <c r="CW3" s="285"/>
      <c r="CX3" s="285"/>
      <c r="CY3" s="24">
        <f t="shared" ref="CY3:CY20" si="5">IF(ISERROR(MATCH(CO3,$C$8:$C$20,0)=FALSE),0,1)</f>
        <v>0</v>
      </c>
      <c r="CZ3" s="42" t="s">
        <v>855</v>
      </c>
      <c r="DA3" s="80"/>
      <c r="DB3" s="107"/>
      <c r="DC3" s="8" t="s">
        <v>362</v>
      </c>
      <c r="DD3" s="90">
        <f>CD119</f>
        <v>0</v>
      </c>
      <c r="DE3" s="97"/>
      <c r="DF3" s="24">
        <f>IF(ISERROR(MATCH(DC3,$FD$8:$FD$20,0)=TRUE),0,1)</f>
        <v>0</v>
      </c>
      <c r="DG3" s="42" t="s">
        <v>858</v>
      </c>
      <c r="DH3" s="29" t="s">
        <v>1137</v>
      </c>
      <c r="DI3" s="90">
        <f t="shared" ref="DI3:DI13" si="6">CD81</f>
        <v>0</v>
      </c>
      <c r="DJ3" s="97" t="s">
        <v>386</v>
      </c>
      <c r="DK3" s="24">
        <v>0</v>
      </c>
      <c r="DL3" s="24"/>
      <c r="DM3" s="24">
        <f t="shared" ref="DM3:DM13" si="7">COUNTIF($G$8:$G$20,DH3)</f>
        <v>0</v>
      </c>
      <c r="DN3" s="184" t="s">
        <v>886</v>
      </c>
      <c r="DO3" s="45" t="s">
        <v>1086</v>
      </c>
      <c r="DP3" s="45"/>
      <c r="DQ3" s="41"/>
      <c r="DR3" s="41"/>
      <c r="DS3" s="41"/>
      <c r="DT3" s="41" t="s">
        <v>619</v>
      </c>
      <c r="DU3" s="41"/>
      <c r="DV3" s="41"/>
      <c r="DW3" s="41"/>
      <c r="DX3" s="41"/>
      <c r="DY3" s="41"/>
      <c r="DZ3" s="41"/>
      <c r="EA3" s="41"/>
      <c r="EB3" s="41"/>
      <c r="EC3" s="41"/>
      <c r="ED3" s="41"/>
      <c r="EF3" s="45"/>
      <c r="EJ3" s="34"/>
      <c r="EK3" s="34"/>
      <c r="EL3" s="53"/>
      <c r="EM3" s="19"/>
      <c r="EN3" s="64"/>
      <c r="EO3" s="19"/>
      <c r="EP3" s="19"/>
      <c r="EQ3" s="19"/>
      <c r="ER3" s="19"/>
      <c r="EV3" s="60">
        <v>3</v>
      </c>
      <c r="EW3" s="19"/>
      <c r="EX3" s="19" t="str">
        <f t="shared" si="0"/>
        <v>Finish</v>
      </c>
      <c r="EY3" s="19">
        <f t="shared" si="0"/>
        <v>0</v>
      </c>
      <c r="EZ3" s="19"/>
      <c r="FA3" s="19"/>
      <c r="FF3" t="s">
        <v>508</v>
      </c>
      <c r="GC3" s="25"/>
      <c r="GD3" s="24"/>
      <c r="GE3" s="123" t="str">
        <f>IF(GE5="","","Drum 1")</f>
        <v/>
      </c>
      <c r="GF3" s="123" t="str">
        <f>IF(GF5="","","Drum 2")</f>
        <v/>
      </c>
      <c r="GG3" s="123" t="str">
        <f>IF(GG5="","","Drum 3")</f>
        <v/>
      </c>
      <c r="GH3" s="123" t="str">
        <f>IF(GH5="","","Drum 4")</f>
        <v/>
      </c>
      <c r="GI3" s="123" t="str">
        <f>IF(GI5="","","Drum 5")</f>
        <v/>
      </c>
      <c r="GJ3" s="123" t="str">
        <f>IF(GJ5="","","Drum 6")</f>
        <v/>
      </c>
      <c r="GK3" s="123" t="str">
        <f>IF(GK5="","","Drum 7")</f>
        <v/>
      </c>
      <c r="GL3" s="86" t="str">
        <f>IF(GL5="","","Drum 8")</f>
        <v/>
      </c>
      <c r="GM3" s="86" t="str">
        <f>IF(GM5="","","Drum 9")</f>
        <v/>
      </c>
      <c r="GN3" s="86" t="str">
        <f>IF(GN5="","","Drum 10")</f>
        <v/>
      </c>
      <c r="GO3" s="86" t="str">
        <f>IF(GO5="","","Drum 11")</f>
        <v/>
      </c>
      <c r="GP3" s="86" t="str">
        <f>IF(GP5="","","Drum 12")</f>
        <v/>
      </c>
      <c r="GQ3" s="86" t="str">
        <f>IF(GQ5="","","Drum 13")</f>
        <v/>
      </c>
      <c r="GR3" s="24"/>
    </row>
    <row r="4" spans="1:200" ht="15.75" x14ac:dyDescent="0.25">
      <c r="B4" s="282" t="s">
        <v>2</v>
      </c>
      <c r="C4" s="281"/>
      <c r="D4" s="183" t="str">
        <f ca="1">IF(C4="","",IF(ISERROR(MATCH(C4,INDIRECT(CONCATENATE(INDEX($AE$3:$AF$7,MATCH(C2,AE3:AE7,0),2),"_Badge")),0))=FALSE,"","Invalid Selection"))</f>
        <v/>
      </c>
      <c r="F4" s="25" t="str">
        <f>CONCATENATE(L1," Total")</f>
        <v>Retail Total</v>
      </c>
      <c r="G4" s="361">
        <f>SUM(L8:L20)</f>
        <v>0</v>
      </c>
      <c r="H4" s="191" t="s">
        <v>998</v>
      </c>
      <c r="J4" s="19"/>
      <c r="K4" s="19"/>
      <c r="L4" s="19"/>
      <c r="S4" t="s">
        <v>1089</v>
      </c>
      <c r="AC4" s="288" t="s">
        <v>731</v>
      </c>
      <c r="AD4">
        <f>IF($C$2=AE4,1,0)</f>
        <v>0</v>
      </c>
      <c r="AE4" t="s">
        <v>6</v>
      </c>
      <c r="AF4" t="s">
        <v>92</v>
      </c>
      <c r="AG4" s="144" t="s">
        <v>428</v>
      </c>
      <c r="AH4" s="146" t="s">
        <v>815</v>
      </c>
      <c r="AI4" s="45" t="s">
        <v>424</v>
      </c>
      <c r="AJ4" s="147" t="s">
        <v>617</v>
      </c>
      <c r="AK4" s="148" t="s">
        <v>428</v>
      </c>
      <c r="AL4" s="28"/>
      <c r="AM4" s="157" t="s">
        <v>819</v>
      </c>
      <c r="AN4" s="146">
        <f>CD7</f>
        <v>85</v>
      </c>
      <c r="AO4" s="146">
        <f>CD8</f>
        <v>110</v>
      </c>
      <c r="AP4" s="146">
        <f>CD9</f>
        <v>135</v>
      </c>
      <c r="AQ4" s="146">
        <f>CD10</f>
        <v>135</v>
      </c>
      <c r="AR4" s="144" t="s">
        <v>878</v>
      </c>
      <c r="AS4" s="28"/>
      <c r="AT4" s="1" t="s">
        <v>427</v>
      </c>
      <c r="AU4" s="4" t="s">
        <v>428</v>
      </c>
      <c r="AV4" s="2" t="s">
        <v>428</v>
      </c>
      <c r="AW4" s="9" t="s">
        <v>459</v>
      </c>
      <c r="AX4" s="2" t="s">
        <v>428</v>
      </c>
      <c r="BA4" s="12" t="s">
        <v>25</v>
      </c>
      <c r="BB4" s="12"/>
      <c r="BC4" s="13" t="str">
        <f t="shared" ref="BC4:BC22" si="8">BD$1&amp;" "&amp;BD4</f>
        <v>Classic Maple 14x18 Bass Drum</v>
      </c>
      <c r="BD4" s="12" t="s">
        <v>25</v>
      </c>
      <c r="BE4" s="101"/>
      <c r="BG4" s="13" t="str">
        <f>BH$1&amp;" "&amp;BH4</f>
        <v>Legacy Maple 14x18 Bass Drum</v>
      </c>
      <c r="BH4" s="12" t="s">
        <v>25</v>
      </c>
      <c r="BI4" s="98"/>
      <c r="BK4" s="13" t="str">
        <f t="shared" ref="BK4:BK10" si="9">BL$1&amp;" "&amp;BL4</f>
        <v>Legacy Mahogany 14x18 Bass Drum</v>
      </c>
      <c r="BL4" s="12" t="s">
        <v>25</v>
      </c>
      <c r="BM4" s="98"/>
      <c r="BN4" s="16"/>
      <c r="BO4" s="13" t="str">
        <f>BP$1&amp;" "&amp;BP4</f>
        <v>Legacy Exotic 14x18 Bass Drum</v>
      </c>
      <c r="BP4" s="12" t="s">
        <v>25</v>
      </c>
      <c r="BQ4" s="94"/>
      <c r="BR4" s="40" t="s">
        <v>684</v>
      </c>
      <c r="BS4" s="12" t="s">
        <v>25</v>
      </c>
      <c r="BT4" s="238"/>
      <c r="BU4" s="239" t="s">
        <v>25</v>
      </c>
      <c r="BV4" s="240" t="s">
        <v>684</v>
      </c>
      <c r="BW4" s="241">
        <f t="shared" si="1"/>
        <v>1602</v>
      </c>
      <c r="BX4" s="241">
        <f t="shared" si="1"/>
        <v>2546</v>
      </c>
      <c r="BY4" s="241">
        <f t="shared" si="1"/>
        <v>2546</v>
      </c>
      <c r="BZ4" s="241">
        <f t="shared" si="1"/>
        <v>2641</v>
      </c>
      <c r="CA4" s="241">
        <f t="shared" si="1"/>
        <v>1514</v>
      </c>
      <c r="CB4" s="242"/>
      <c r="CC4" s="243" t="s">
        <v>1007</v>
      </c>
      <c r="CD4" s="313">
        <v>0</v>
      </c>
      <c r="CE4" s="242"/>
      <c r="CF4" s="239" t="str">
        <f t="shared" si="2"/>
        <v>14x18 Bass Drum</v>
      </c>
      <c r="CG4" s="130" t="s">
        <v>117</v>
      </c>
      <c r="CH4" s="130" t="s">
        <v>179</v>
      </c>
      <c r="CI4" s="130" t="s">
        <v>237</v>
      </c>
      <c r="CJ4" s="130" t="s">
        <v>295</v>
      </c>
      <c r="CK4" s="130" t="s">
        <v>760</v>
      </c>
      <c r="CL4" s="94"/>
      <c r="CM4" s="288" t="s">
        <v>19</v>
      </c>
      <c r="CN4" s="27" t="str">
        <f t="shared" si="3"/>
        <v>Bass.12x20 Bass Drum</v>
      </c>
      <c r="CO4" s="12" t="s">
        <v>27</v>
      </c>
      <c r="CP4" s="93" t="str">
        <f t="shared" si="4"/>
        <v>MLLCLL</v>
      </c>
      <c r="CQ4" s="285" t="s">
        <v>831</v>
      </c>
      <c r="CR4" s="285" t="s">
        <v>829</v>
      </c>
      <c r="CS4" s="285" t="s">
        <v>731</v>
      </c>
      <c r="CT4" s="285"/>
      <c r="CU4" s="285"/>
      <c r="CV4" s="285"/>
      <c r="CW4" s="285"/>
      <c r="CX4" s="285"/>
      <c r="CY4" s="24">
        <f t="shared" si="5"/>
        <v>0</v>
      </c>
      <c r="CZ4" s="42" t="s">
        <v>855</v>
      </c>
      <c r="DA4" s="80"/>
      <c r="DB4" s="107"/>
      <c r="DC4" t="s">
        <v>363</v>
      </c>
      <c r="DD4" s="90">
        <f>CD120</f>
        <v>30</v>
      </c>
      <c r="DE4" s="97" t="s">
        <v>387</v>
      </c>
      <c r="DF4" s="285">
        <f t="shared" ref="DF4:DF17" si="10">IF(ISERROR(MATCH(DC4,$FD$8:$FD$20,0)=TRUE),0,1)</f>
        <v>0</v>
      </c>
      <c r="DG4" s="42" t="s">
        <v>858</v>
      </c>
      <c r="DH4" s="29" t="str">
        <f>IF(EO12=1, "P1610D CHROME Ludwig Casting", "P1610D Ludwig Bass Casting")</f>
        <v>P1610D Ludwig Bass Casting</v>
      </c>
      <c r="DI4" s="90">
        <f t="shared" si="6"/>
        <v>60</v>
      </c>
      <c r="DJ4" s="97" t="s">
        <v>391</v>
      </c>
      <c r="DK4" s="24">
        <v>0</v>
      </c>
      <c r="DL4" s="24"/>
      <c r="DM4" s="24">
        <f t="shared" si="7"/>
        <v>0</v>
      </c>
      <c r="DN4" s="185" t="s">
        <v>887</v>
      </c>
      <c r="DO4" s="45"/>
      <c r="DP4" s="45"/>
      <c r="DT4" s="41" t="s">
        <v>964</v>
      </c>
      <c r="DU4" s="41"/>
      <c r="DV4" s="41"/>
      <c r="DW4" s="41"/>
      <c r="DX4" s="41"/>
      <c r="DY4" s="41"/>
      <c r="DZ4" s="41"/>
      <c r="EA4" s="41"/>
      <c r="EB4" s="41"/>
      <c r="EC4" s="41" t="s">
        <v>741</v>
      </c>
      <c r="ED4" s="41" t="s">
        <v>513</v>
      </c>
      <c r="EE4" t="s">
        <v>863</v>
      </c>
      <c r="EF4" s="45"/>
      <c r="EI4" s="46"/>
      <c r="EJ4" s="32"/>
      <c r="EL4" s="102"/>
      <c r="EM4" s="19"/>
      <c r="EN4" s="64"/>
      <c r="EO4" s="19"/>
      <c r="EP4" s="19"/>
      <c r="EQ4" s="19"/>
      <c r="ER4" s="19"/>
      <c r="EV4" s="60">
        <v>4</v>
      </c>
      <c r="EW4" s="19"/>
      <c r="EX4" s="19" t="str">
        <f t="shared" si="0"/>
        <v>Badge</v>
      </c>
      <c r="EY4" s="19">
        <f t="shared" si="0"/>
        <v>0</v>
      </c>
      <c r="EZ4" s="19"/>
      <c r="FA4" s="19"/>
      <c r="FK4" t="s">
        <v>566</v>
      </c>
      <c r="FN4" s="12"/>
      <c r="FO4" s="12"/>
      <c r="FP4" s="12"/>
      <c r="FQ4" s="12"/>
      <c r="FR4" s="12"/>
      <c r="FS4" s="12"/>
      <c r="FT4" s="12"/>
      <c r="FU4" s="12"/>
      <c r="FV4" s="29"/>
      <c r="FY4" s="29"/>
      <c r="GD4" s="82" t="s">
        <v>605</v>
      </c>
      <c r="GE4" s="123" t="str">
        <f>IF(B8="","",INDEX($Z$51:$AE$55, MATCH(B8,$Z$51:$Z$55,0), MATCH($C$2,$Z$51:$AR$51,0)))</f>
        <v/>
      </c>
      <c r="GF4" s="123" t="str">
        <f>IF(B9="","",INDEX($Z$51:$AE$55, MATCH(B9,$Z$51:$Z$55,0), MATCH($C$2,$Z$51:$AE$51,0)))</f>
        <v/>
      </c>
      <c r="GG4" s="123" t="str">
        <f>IF(B10="","",INDEX($Z$51:$AE$55, MATCH(B10,$Z$51:$Z$55,0), MATCH($C$2,$Z$51:$AE$51,0)))</f>
        <v/>
      </c>
      <c r="GH4" s="123" t="str">
        <f>IF(B11="","",INDEX($Z$51:$AE$55, MATCH(B11,$Z$51:$Z$55,0), MATCH($C$2,$Z$51:$AE$51,0)))</f>
        <v/>
      </c>
      <c r="GI4" s="123" t="str">
        <f>IF(B12="","",INDEX($Z$51:$AE$55, MATCH(B12,$Z$51:$Z$55,0), MATCH($C$2,$Z$51:$AE$51,0)))</f>
        <v/>
      </c>
      <c r="GJ4" s="123" t="str">
        <f>IF(B13="","",INDEX($Z$51:$AE$55, MATCH(B13,$Z$51:$Z$55,0), MATCH($C$2,$Z$51:$AE$51,0)))</f>
        <v/>
      </c>
      <c r="GK4" s="123" t="str">
        <f>IF(B14="","",INDEX($Z$51:$AE$55, MATCH(B14,$Z$51:$Z$55,0), MATCH($C$2,$Z$51:$AE$51,0)))</f>
        <v/>
      </c>
      <c r="GL4" s="86" t="str">
        <f>IF(B15="","",INDEX($Z$51:$AE$55, MATCH(B15,$Z$51:$Z$55,0), MATCH($C$2,$Z$51:$AE$51,0)))</f>
        <v/>
      </c>
      <c r="GM4" s="86" t="str">
        <f>IF(B16="","",INDEX($Z$51:$AE$55, MATCH(B16,$Z$51:$Z$55,0), MATCH($C$2,$Z$51:$AE$51,0)))</f>
        <v/>
      </c>
      <c r="GN4" s="86" t="str">
        <f>IF(B17="","",INDEX($Z$51:$AE$55, MATCH(B17,$Z$51:$Z$55,0), MATCH($C$2,$Z$51:$AE$51,0)))</f>
        <v/>
      </c>
      <c r="GO4" s="86" t="str">
        <f>IF(B18="","",INDEX($Z$51:$AE$55, MATCH(B18,$Z$51:$Z$55,0), MATCH($C$2,$Z$51:$AE$51,0)))</f>
        <v/>
      </c>
      <c r="GP4" s="86" t="str">
        <f>IF(B19="","",INDEX($Z$51:$AE$55, MATCH(B19,$Z$51:$Z$55,0), MATCH($C$2,$Z$51:$AE$51,0)))</f>
        <v/>
      </c>
      <c r="GQ4" s="86" t="str">
        <f>IF(B20="","",INDEX($Z$51:$AE$55, MATCH(B20,$Z$51:$Z$55,0), MATCH($C$2,$Z$51:$AE$51,0)))</f>
        <v/>
      </c>
    </row>
    <row r="5" spans="1:200" ht="16.5" thickBot="1" x14ac:dyDescent="0.3">
      <c r="A5" s="48"/>
      <c r="B5" s="145" t="s">
        <v>875</v>
      </c>
      <c r="C5" s="196"/>
      <c r="D5" s="81">
        <f>IF(C5="Resa-Cote",CD76,0)</f>
        <v>0</v>
      </c>
      <c r="F5" s="298" t="str">
        <f>IF(L1="retail","MAP","")</f>
        <v>MAP</v>
      </c>
      <c r="G5" s="361">
        <f>IF(L1="Retail",G4*0.65,"")</f>
        <v>0</v>
      </c>
      <c r="H5" s="191" t="s">
        <v>967</v>
      </c>
      <c r="L5" s="35"/>
      <c r="S5" t="s">
        <v>1090</v>
      </c>
      <c r="W5" s="286" t="e">
        <f>SUM(W8:W20)</f>
        <v>#DIV/0!</v>
      </c>
      <c r="X5" s="193" t="e">
        <f ca="1">ROW(INDIRECT(CELL("address")))</f>
        <v>#N/A</v>
      </c>
      <c r="Y5" t="s">
        <v>968</v>
      </c>
      <c r="AC5" s="288" t="s">
        <v>398</v>
      </c>
      <c r="AD5">
        <f>IF($C$2=AE5,1,0)</f>
        <v>0</v>
      </c>
      <c r="AE5" t="s">
        <v>7</v>
      </c>
      <c r="AF5" t="s">
        <v>93</v>
      </c>
      <c r="AG5" s="144" t="s">
        <v>429</v>
      </c>
      <c r="AH5" s="146" t="s">
        <v>815</v>
      </c>
      <c r="AI5" s="45" t="s">
        <v>410</v>
      </c>
      <c r="AJ5" s="147" t="s">
        <v>620</v>
      </c>
      <c r="AK5" s="148" t="s">
        <v>429</v>
      </c>
      <c r="AL5" s="28"/>
      <c r="AM5" s="157" t="s">
        <v>820</v>
      </c>
      <c r="AN5" s="146">
        <f>CD11</f>
        <v>85</v>
      </c>
      <c r="AO5" s="146">
        <f>CD12</f>
        <v>110</v>
      </c>
      <c r="AP5" s="146">
        <f>CD13</f>
        <v>135</v>
      </c>
      <c r="AQ5" s="146">
        <f>CD14</f>
        <v>135</v>
      </c>
      <c r="AR5" s="144" t="s">
        <v>878</v>
      </c>
      <c r="AS5" s="28"/>
      <c r="AT5" s="1" t="s">
        <v>459</v>
      </c>
      <c r="AU5" s="4" t="s">
        <v>430</v>
      </c>
      <c r="AV5" s="2" t="s">
        <v>430</v>
      </c>
      <c r="AW5" s="10" t="s">
        <v>474</v>
      </c>
      <c r="AX5" s="2" t="s">
        <v>430</v>
      </c>
      <c r="BA5" s="12" t="s">
        <v>26</v>
      </c>
      <c r="BB5" s="12"/>
      <c r="BC5" s="13" t="str">
        <f t="shared" si="8"/>
        <v>Classic Maple 16x18 Bass Drum</v>
      </c>
      <c r="BD5" s="12" t="s">
        <v>26</v>
      </c>
      <c r="BE5" s="101"/>
      <c r="BG5" s="13" t="str">
        <f t="shared" ref="BG5:BG10" si="11">BH$1&amp;" "&amp;BH5</f>
        <v>Legacy Maple 16x18 Bass Drum</v>
      </c>
      <c r="BH5" s="12" t="s">
        <v>26</v>
      </c>
      <c r="BI5" s="98"/>
      <c r="BK5" s="13" t="str">
        <f t="shared" si="9"/>
        <v>Legacy Mahogany 16x18 Bass Drum</v>
      </c>
      <c r="BL5" s="12" t="s">
        <v>26</v>
      </c>
      <c r="BM5" s="98"/>
      <c r="BN5" s="16"/>
      <c r="BO5" s="13" t="str">
        <f t="shared" ref="BO5:BO10" si="12">BP$1&amp;" "&amp;BP5</f>
        <v>Legacy Exotic 16x18 Bass Drum</v>
      </c>
      <c r="BP5" s="12" t="s">
        <v>26</v>
      </c>
      <c r="BQ5" s="94"/>
      <c r="BR5" s="40" t="s">
        <v>685</v>
      </c>
      <c r="BS5" s="12" t="s">
        <v>26</v>
      </c>
      <c r="BT5" s="238"/>
      <c r="BU5" s="239" t="s">
        <v>26</v>
      </c>
      <c r="BV5" s="240" t="s">
        <v>685</v>
      </c>
      <c r="BW5" s="241">
        <f t="shared" si="1"/>
        <v>1602</v>
      </c>
      <c r="BX5" s="241">
        <f t="shared" si="1"/>
        <v>2546</v>
      </c>
      <c r="BY5" s="241">
        <f t="shared" si="1"/>
        <v>2546</v>
      </c>
      <c r="BZ5" s="241">
        <f t="shared" si="1"/>
        <v>2641</v>
      </c>
      <c r="CA5" s="241">
        <f t="shared" si="1"/>
        <v>1514</v>
      </c>
      <c r="CB5" s="242"/>
      <c r="CC5" s="243" t="s">
        <v>1008</v>
      </c>
      <c r="CD5" s="313">
        <v>0</v>
      </c>
      <c r="CE5" s="242"/>
      <c r="CF5" s="239" t="str">
        <f t="shared" si="2"/>
        <v>16x18 Bass Drum</v>
      </c>
      <c r="CG5" s="130" t="s">
        <v>118</v>
      </c>
      <c r="CH5" s="130" t="s">
        <v>180</v>
      </c>
      <c r="CI5" s="130" t="s">
        <v>238</v>
      </c>
      <c r="CJ5" s="130" t="s">
        <v>296</v>
      </c>
      <c r="CK5" s="130" t="s">
        <v>761</v>
      </c>
      <c r="CL5" s="94"/>
      <c r="CM5" s="288" t="s">
        <v>19</v>
      </c>
      <c r="CN5" s="27" t="str">
        <f t="shared" si="3"/>
        <v>Bass.12x22 Bass Drum</v>
      </c>
      <c r="CO5" s="12" t="s">
        <v>31</v>
      </c>
      <c r="CP5" s="93" t="str">
        <f t="shared" si="4"/>
        <v>MLLCLL</v>
      </c>
      <c r="CQ5" s="285" t="s">
        <v>831</v>
      </c>
      <c r="CR5" s="285" t="s">
        <v>829</v>
      </c>
      <c r="CS5" s="285" t="s">
        <v>731</v>
      </c>
      <c r="CT5" s="285"/>
      <c r="CU5" s="285"/>
      <c r="CV5" s="285"/>
      <c r="CW5" s="285"/>
      <c r="CX5" s="285"/>
      <c r="CY5" s="24">
        <f t="shared" si="5"/>
        <v>0</v>
      </c>
      <c r="CZ5" s="42" t="s">
        <v>855</v>
      </c>
      <c r="DA5" s="80"/>
      <c r="DB5" s="107"/>
      <c r="DC5" s="315" t="s">
        <v>1141</v>
      </c>
      <c r="DD5" s="90">
        <f>CD137</f>
        <v>40</v>
      </c>
      <c r="DE5" t="s">
        <v>1124</v>
      </c>
      <c r="DF5" s="285">
        <f t="shared" si="10"/>
        <v>0</v>
      </c>
      <c r="DG5" s="42" t="s">
        <v>859</v>
      </c>
      <c r="DH5" s="29" t="str">
        <f>IF(EO12=1, "LR2981MT CHROME Rocker Single",  "LR2981MT Rocker Single Tom Holder")</f>
        <v>LR2981MT Rocker Single Tom Holder</v>
      </c>
      <c r="DI5" s="90">
        <f t="shared" si="6"/>
        <v>140</v>
      </c>
      <c r="DJ5" s="97" t="s">
        <v>392</v>
      </c>
      <c r="DK5" s="24">
        <v>9</v>
      </c>
      <c r="DL5" s="24"/>
      <c r="DM5" s="24">
        <f t="shared" si="7"/>
        <v>0</v>
      </c>
      <c r="DN5" s="186" t="s">
        <v>888</v>
      </c>
      <c r="DO5" s="45"/>
      <c r="DP5" s="45"/>
      <c r="DT5" s="41"/>
      <c r="DU5" s="41"/>
      <c r="DV5" s="41"/>
      <c r="DX5" s="41"/>
      <c r="DY5" s="41"/>
      <c r="DZ5" s="41"/>
      <c r="EA5" s="41"/>
      <c r="EC5" t="s">
        <v>5</v>
      </c>
      <c r="ED5" t="s">
        <v>868</v>
      </c>
      <c r="EE5" s="41" t="s">
        <v>864</v>
      </c>
      <c r="EF5" s="41" t="s">
        <v>865</v>
      </c>
      <c r="EG5" s="14" t="s">
        <v>866</v>
      </c>
      <c r="EI5" s="46"/>
      <c r="EJ5" s="32"/>
      <c r="EL5" s="102"/>
      <c r="EM5" s="19"/>
      <c r="EN5" s="64"/>
      <c r="EO5" s="54"/>
      <c r="EP5" s="19"/>
      <c r="EQ5" s="19"/>
      <c r="ER5" s="19"/>
      <c r="EV5" s="19"/>
      <c r="EW5" s="19"/>
      <c r="EX5" s="19"/>
      <c r="EY5" s="19"/>
      <c r="EZ5" s="19"/>
      <c r="FA5" s="19"/>
      <c r="FI5" s="19"/>
      <c r="FK5" t="s">
        <v>1142</v>
      </c>
      <c r="FN5" s="12"/>
      <c r="FO5" s="12"/>
      <c r="FP5" s="12"/>
      <c r="FQ5" s="12"/>
      <c r="FR5" s="12" t="s">
        <v>1258</v>
      </c>
      <c r="FS5" s="12"/>
      <c r="FT5" s="12"/>
      <c r="FU5" s="12"/>
      <c r="FV5" s="29"/>
      <c r="GC5" s="81">
        <f>IF(SUM(GE36:GQ36)&lt;3,3,SUM(GE36:GQ36))</f>
        <v>3</v>
      </c>
      <c r="GD5" s="82" t="s">
        <v>546</v>
      </c>
      <c r="GE5" s="123" t="str">
        <f>IF(B8="","",EW8)</f>
        <v/>
      </c>
      <c r="GF5" s="123" t="str">
        <f>IF(B9="","",EW9)</f>
        <v/>
      </c>
      <c r="GG5" s="123" t="str">
        <f>IF(B10 = "","",EW10)</f>
        <v/>
      </c>
      <c r="GH5" s="123" t="str">
        <f>IF(B11="","",EW11)</f>
        <v/>
      </c>
      <c r="GI5" s="123" t="str">
        <f>IF(B12="","",EW12)</f>
        <v/>
      </c>
      <c r="GJ5" s="123" t="str">
        <f>IF(B13="","",EW13)</f>
        <v/>
      </c>
      <c r="GK5" s="123" t="str">
        <f>IF(B14="","",EW14)</f>
        <v/>
      </c>
      <c r="GL5" s="86" t="str">
        <f>IF(B15="","",EW15)</f>
        <v/>
      </c>
      <c r="GM5" s="86" t="str">
        <f>IF(B16="","",EW16)</f>
        <v/>
      </c>
      <c r="GN5" s="86" t="str">
        <f>IF(B17="","",EW17)</f>
        <v/>
      </c>
      <c r="GO5" s="86" t="str">
        <f>IF(B18="","",EW18)</f>
        <v/>
      </c>
      <c r="GP5" s="86" t="str">
        <f>IF(B19="","",EW19)</f>
        <v/>
      </c>
      <c r="GQ5" s="86" t="str">
        <f>IF(B20="","",EW20)</f>
        <v/>
      </c>
    </row>
    <row r="6" spans="1:200" ht="16.5" thickBot="1" x14ac:dyDescent="0.3">
      <c r="C6" s="22" t="str">
        <f>IF(COUNTIF(EY8:EY20,"*"&amp;"N/A"&amp;"*")&gt;0=TRUE,"Size/Shell Error","")</f>
        <v/>
      </c>
      <c r="D6" s="23" t="str">
        <f>IFERROR(IF(AND(AN19 = "IOV",C5="Resa-Cote"),"Resa-Cote not available with FF Exotics",""),"")</f>
        <v/>
      </c>
      <c r="G6" s="22" t="str">
        <f>IF(FC62&gt;0,INDEX(FB60:FC61,MATCH(1,FC60:FC61,0),1),"")</f>
        <v/>
      </c>
      <c r="H6" s="362"/>
      <c r="I6" s="362"/>
      <c r="J6" s="359" t="s">
        <v>1109</v>
      </c>
      <c r="S6" s="27" t="s">
        <v>536</v>
      </c>
      <c r="T6" s="27" t="s">
        <v>537</v>
      </c>
      <c r="U6" s="27" t="s">
        <v>538</v>
      </c>
      <c r="V6" s="27" t="s">
        <v>539</v>
      </c>
      <c r="W6" s="27"/>
      <c r="X6" s="27" t="s">
        <v>958</v>
      </c>
      <c r="AC6" s="288" t="s">
        <v>391</v>
      </c>
      <c r="AD6">
        <f>IF($C$2=AE6,1,0)</f>
        <v>0</v>
      </c>
      <c r="AE6" t="s">
        <v>8</v>
      </c>
      <c r="AF6" t="s">
        <v>94</v>
      </c>
      <c r="AG6" s="144" t="s">
        <v>430</v>
      </c>
      <c r="AH6" s="146" t="s">
        <v>815</v>
      </c>
      <c r="AI6" s="45" t="s">
        <v>410</v>
      </c>
      <c r="AJ6" s="147" t="s">
        <v>620</v>
      </c>
      <c r="AK6" s="148" t="s">
        <v>430</v>
      </c>
      <c r="AL6" s="28"/>
      <c r="AM6" s="157" t="s">
        <v>821</v>
      </c>
      <c r="AN6" s="146">
        <f>CD15</f>
        <v>85</v>
      </c>
      <c r="AO6" s="146">
        <f>CD16</f>
        <v>110</v>
      </c>
      <c r="AP6" s="146">
        <f>CD17</f>
        <v>135</v>
      </c>
      <c r="AQ6" s="146">
        <f>CD18</f>
        <v>135</v>
      </c>
      <c r="AR6" s="144" t="s">
        <v>877</v>
      </c>
      <c r="AS6" s="28"/>
      <c r="AT6" s="1" t="s">
        <v>982</v>
      </c>
      <c r="AU6" s="4" t="s">
        <v>983</v>
      </c>
      <c r="AV6" s="2" t="s">
        <v>983</v>
      </c>
      <c r="AW6" s="9" t="s">
        <v>985</v>
      </c>
      <c r="AX6" s="2" t="s">
        <v>983</v>
      </c>
      <c r="BA6" s="12" t="s">
        <v>27</v>
      </c>
      <c r="BB6" s="12"/>
      <c r="BC6" s="13" t="str">
        <f t="shared" si="8"/>
        <v>Classic Maple 12x20 Bass Drum</v>
      </c>
      <c r="BD6" s="12" t="s">
        <v>27</v>
      </c>
      <c r="BE6" s="101"/>
      <c r="BG6" s="13" t="str">
        <f t="shared" si="11"/>
        <v>Legacy Maple 12x20 Bass Drum</v>
      </c>
      <c r="BH6" s="12" t="s">
        <v>27</v>
      </c>
      <c r="BI6" s="98"/>
      <c r="BK6" s="13" t="str">
        <f t="shared" si="9"/>
        <v>Legacy Mahogany 12x20 Bass Drum</v>
      </c>
      <c r="BL6" s="12" t="s">
        <v>27</v>
      </c>
      <c r="BM6" s="98"/>
      <c r="BN6" s="16"/>
      <c r="BO6" s="13" t="str">
        <f t="shared" si="12"/>
        <v>Legacy Exotic 12x20 Bass Drum</v>
      </c>
      <c r="BP6" s="12" t="s">
        <v>27</v>
      </c>
      <c r="BQ6" s="94"/>
      <c r="BR6" s="40" t="s">
        <v>686</v>
      </c>
      <c r="BS6" s="12" t="s">
        <v>27</v>
      </c>
      <c r="BT6" s="238"/>
      <c r="BU6" s="239" t="s">
        <v>27</v>
      </c>
      <c r="BV6" s="240" t="s">
        <v>686</v>
      </c>
      <c r="BW6" s="241">
        <f t="shared" si="1"/>
        <v>1648</v>
      </c>
      <c r="BX6" s="241">
        <f t="shared" si="1"/>
        <v>2567</v>
      </c>
      <c r="BY6" s="241">
        <f t="shared" si="1"/>
        <v>2567</v>
      </c>
      <c r="BZ6" s="241">
        <f t="shared" si="1"/>
        <v>2662</v>
      </c>
      <c r="CA6" s="241">
        <f t="shared" si="1"/>
        <v>1574</v>
      </c>
      <c r="CB6" s="242"/>
      <c r="CC6" s="243" t="s">
        <v>1009</v>
      </c>
      <c r="CD6" s="313">
        <v>0</v>
      </c>
      <c r="CE6" s="242"/>
      <c r="CF6" s="239" t="str">
        <f t="shared" si="2"/>
        <v>12x20 Bass Drum</v>
      </c>
      <c r="CG6" s="130" t="s">
        <v>119</v>
      </c>
      <c r="CH6" s="130" t="s">
        <v>181</v>
      </c>
      <c r="CI6" s="130" t="s">
        <v>239</v>
      </c>
      <c r="CJ6" s="130" t="s">
        <v>297</v>
      </c>
      <c r="CK6" s="130" t="s">
        <v>762</v>
      </c>
      <c r="CL6" s="94"/>
      <c r="CM6" s="288" t="s">
        <v>19</v>
      </c>
      <c r="CN6" s="27" t="str">
        <f t="shared" si="3"/>
        <v>Bass.12x24 Bass Drum</v>
      </c>
      <c r="CO6" s="12" t="s">
        <v>36</v>
      </c>
      <c r="CP6" s="93" t="str">
        <f t="shared" si="4"/>
        <v>MLLCLL</v>
      </c>
      <c r="CQ6" s="285" t="s">
        <v>831</v>
      </c>
      <c r="CR6" s="285" t="s">
        <v>829</v>
      </c>
      <c r="CS6" s="285" t="s">
        <v>731</v>
      </c>
      <c r="CT6" s="285"/>
      <c r="CU6" s="285"/>
      <c r="CV6" s="285"/>
      <c r="CW6" s="285"/>
      <c r="CX6" s="285"/>
      <c r="CY6" s="24">
        <f t="shared" si="5"/>
        <v>0</v>
      </c>
      <c r="CZ6" s="42" t="s">
        <v>855</v>
      </c>
      <c r="DA6" s="80"/>
      <c r="DB6" s="107"/>
      <c r="DC6" t="s">
        <v>839</v>
      </c>
      <c r="DD6" s="90">
        <f>CD121</f>
        <v>0</v>
      </c>
      <c r="DE6" s="97" t="s">
        <v>840</v>
      </c>
      <c r="DF6" s="285">
        <f t="shared" si="10"/>
        <v>0</v>
      </c>
      <c r="DG6" s="42" t="s">
        <v>859</v>
      </c>
      <c r="DH6" s="29" t="str">
        <f>IF(EO12=1, "LR2980MT CHROME Rocker Double", "LR2980MT Rocker Double Tom Holder")</f>
        <v>LR2980MT Rocker Double Tom Holder</v>
      </c>
      <c r="DI6" s="90">
        <f t="shared" si="6"/>
        <v>180</v>
      </c>
      <c r="DJ6" s="97" t="s">
        <v>393</v>
      </c>
      <c r="DK6" s="24">
        <v>9</v>
      </c>
      <c r="DL6" s="24"/>
      <c r="DM6" s="24">
        <f t="shared" si="7"/>
        <v>0</v>
      </c>
      <c r="DO6" s="45"/>
      <c r="DP6" s="45"/>
      <c r="DT6" s="41"/>
      <c r="DU6" s="41"/>
      <c r="DV6" s="41"/>
      <c r="DW6" s="41"/>
      <c r="DX6" s="41"/>
      <c r="DY6" s="41"/>
      <c r="DZ6" s="41"/>
      <c r="EA6" s="41"/>
      <c r="EC6" t="s">
        <v>6</v>
      </c>
      <c r="ED6" t="s">
        <v>869</v>
      </c>
      <c r="EE6" s="14" t="s">
        <v>867</v>
      </c>
      <c r="EF6" s="45"/>
      <c r="EG6" s="14"/>
      <c r="EH6" t="s">
        <v>1186</v>
      </c>
      <c r="EI6" s="46"/>
      <c r="EJ6" s="32"/>
      <c r="EL6" s="102"/>
      <c r="EM6" s="19"/>
      <c r="EN6" s="64"/>
      <c r="EO6" s="19"/>
      <c r="EP6" s="19"/>
      <c r="EQ6" s="19"/>
      <c r="ER6" s="19"/>
      <c r="EV6" s="60"/>
      <c r="EW6" s="60" t="s">
        <v>505</v>
      </c>
      <c r="EX6" s="60" t="s">
        <v>112</v>
      </c>
      <c r="EY6" s="60" t="s">
        <v>501</v>
      </c>
      <c r="EZ6" s="60" t="s">
        <v>502</v>
      </c>
      <c r="FA6" s="60" t="s">
        <v>503</v>
      </c>
      <c r="FB6" s="61" t="s">
        <v>114</v>
      </c>
      <c r="FC6" s="61" t="s">
        <v>504</v>
      </c>
      <c r="FE6" s="67" t="s">
        <v>506</v>
      </c>
      <c r="FF6" s="26">
        <f ca="1">SUM(FF8:FF20)</f>
        <v>0</v>
      </c>
      <c r="FG6" s="26">
        <f ca="1">SUM(FG8:FG20)</f>
        <v>0</v>
      </c>
      <c r="FH6" s="26">
        <f ca="1">SUM(FH8:FH20)</f>
        <v>0</v>
      </c>
      <c r="FI6" s="68">
        <f ca="1">SUM(FF6:FH6)</f>
        <v>0</v>
      </c>
      <c r="FJ6" s="19"/>
      <c r="FK6" t="s">
        <v>567</v>
      </c>
      <c r="FN6" s="12" t="s">
        <v>929</v>
      </c>
      <c r="FO6" s="12"/>
      <c r="FP6" s="12"/>
      <c r="FQ6" s="12"/>
      <c r="FR6" s="12" t="s">
        <v>910</v>
      </c>
      <c r="FS6" s="12"/>
      <c r="FT6" s="12"/>
      <c r="FU6" s="12"/>
      <c r="FV6" s="29"/>
      <c r="FW6" s="29"/>
      <c r="FX6" s="29"/>
      <c r="FY6" s="29"/>
      <c r="GC6" s="24"/>
      <c r="GD6" s="82" t="s">
        <v>609</v>
      </c>
      <c r="GE6" s="174" t="e">
        <f ca="1">IF(X8=1,"Incomplete Config",K8)</f>
        <v>#N/A</v>
      </c>
      <c r="GF6" s="174" t="e">
        <f ca="1">IF(X9=1,"Incomplete Config",K9)</f>
        <v>#N/A</v>
      </c>
      <c r="GG6" s="174" t="e">
        <f ca="1">IF(X10=1,"Incomplete Config",K10)</f>
        <v>#N/A</v>
      </c>
      <c r="GH6" s="174" t="e">
        <f ca="1">IF(X11=1,"Incomplete Config",K11)</f>
        <v>#N/A</v>
      </c>
      <c r="GI6" s="174" t="e">
        <f ca="1">IF(X12=1,"Incomplete Config",K12)</f>
        <v>#N/A</v>
      </c>
      <c r="GJ6" s="174" t="e">
        <f ca="1">IF(X13=1,"Incomplete Config",K13)</f>
        <v>#N/A</v>
      </c>
      <c r="GK6" s="174" t="e">
        <f ca="1">IF(X14=1,"Incomplete Config",K14)</f>
        <v>#N/A</v>
      </c>
      <c r="GL6" s="175" t="e">
        <f ca="1">IF(X15=1,"Incomplete Config",K15)</f>
        <v>#N/A</v>
      </c>
      <c r="GM6" s="175" t="e">
        <f ca="1">IF(X16=1,"Incomplete Config",K16)</f>
        <v>#N/A</v>
      </c>
      <c r="GN6" s="175" t="e">
        <f ca="1">IF(X17=1,"Incomplete Config",K17)</f>
        <v>#N/A</v>
      </c>
      <c r="GO6" s="175" t="e">
        <f ca="1">IF(X18=1,"Incomplete Config",K18)</f>
        <v>#N/A</v>
      </c>
      <c r="GP6" s="175" t="e">
        <f ca="1">IF(X19=1,"Incomplete Config",K19)</f>
        <v>#N/A</v>
      </c>
      <c r="GQ6" s="175" t="e">
        <f ca="1">IF(X20=1,"Incomplete Config",K20)</f>
        <v>#N/A</v>
      </c>
    </row>
    <row r="7" spans="1:200" ht="15.75" x14ac:dyDescent="0.25">
      <c r="A7" s="24" t="s">
        <v>546</v>
      </c>
      <c r="B7" s="49" t="s">
        <v>16</v>
      </c>
      <c r="C7" s="284" t="str">
        <f ca="1">IF(FF6=0,"Size","Size   (INVALID SELECTION)")</f>
        <v>Size</v>
      </c>
      <c r="D7" s="359" t="s">
        <v>660</v>
      </c>
      <c r="E7" s="106" t="str">
        <f ca="1">IF(FG6&lt;1,"Lugs","Lugs  (INVALID SELECTION)")</f>
        <v>Lugs</v>
      </c>
      <c r="F7" s="359" t="s">
        <v>372</v>
      </c>
      <c r="G7" s="106" t="str">
        <f ca="1">IF(FH6=0,"Mounts", "Mounts (INVALID SELECTION)")</f>
        <v>Mounts</v>
      </c>
      <c r="H7" s="359" t="s">
        <v>373</v>
      </c>
      <c r="I7" s="359" t="s">
        <v>1</v>
      </c>
      <c r="J7" s="359" t="s">
        <v>962</v>
      </c>
      <c r="K7" s="6" t="s">
        <v>655</v>
      </c>
      <c r="L7" s="359" t="str">
        <f>L1</f>
        <v>Retail</v>
      </c>
      <c r="M7" s="76"/>
      <c r="P7" s="308" t="s">
        <v>1189</v>
      </c>
      <c r="Q7" s="310" t="str">
        <f>CONCATENATE("Itm ",L1)</f>
        <v>Itm Retail</v>
      </c>
      <c r="R7" s="48"/>
      <c r="S7" s="66" t="s">
        <v>19</v>
      </c>
      <c r="T7" s="66" t="s">
        <v>21</v>
      </c>
      <c r="U7" s="66" t="s">
        <v>20</v>
      </c>
      <c r="V7" s="66" t="s">
        <v>22</v>
      </c>
      <c r="W7" s="66" t="s">
        <v>2</v>
      </c>
      <c r="X7" s="27" t="s">
        <v>959</v>
      </c>
      <c r="AA7" t="s">
        <v>1184</v>
      </c>
      <c r="AC7" s="288" t="s">
        <v>732</v>
      </c>
      <c r="AD7">
        <f>IF($C$2=AE7,1,0)</f>
        <v>0</v>
      </c>
      <c r="AE7" s="43" t="s">
        <v>657</v>
      </c>
      <c r="AF7" s="43" t="s">
        <v>658</v>
      </c>
      <c r="AG7" s="144" t="s">
        <v>983</v>
      </c>
      <c r="AH7" s="146" t="s">
        <v>815</v>
      </c>
      <c r="AI7" s="45" t="s">
        <v>410</v>
      </c>
      <c r="AJ7" s="147" t="s">
        <v>620</v>
      </c>
      <c r="AK7" s="148" t="s">
        <v>983</v>
      </c>
      <c r="AL7" s="28"/>
      <c r="AM7" s="157" t="s">
        <v>822</v>
      </c>
      <c r="AN7" s="146">
        <f>CD20</f>
        <v>0</v>
      </c>
      <c r="AO7" s="146">
        <f>CD21</f>
        <v>0</v>
      </c>
      <c r="AP7" s="146">
        <f>CD22</f>
        <v>0</v>
      </c>
      <c r="AQ7" s="146">
        <f>CD23</f>
        <v>0</v>
      </c>
      <c r="AR7" s="144" t="s">
        <v>878</v>
      </c>
      <c r="AS7" s="28"/>
      <c r="AT7" s="1" t="s">
        <v>474</v>
      </c>
      <c r="AU7" s="4" t="s">
        <v>431</v>
      </c>
      <c r="AV7" s="2" t="s">
        <v>431</v>
      </c>
      <c r="AW7" s="9" t="s">
        <v>460</v>
      </c>
      <c r="AX7" s="2" t="s">
        <v>431</v>
      </c>
      <c r="BA7" s="12" t="s">
        <v>28</v>
      </c>
      <c r="BB7" s="12"/>
      <c r="BC7" s="13" t="str">
        <f t="shared" si="8"/>
        <v>Classic Maple 14x20 Bass Drum</v>
      </c>
      <c r="BD7" s="12" t="s">
        <v>28</v>
      </c>
      <c r="BE7" s="101"/>
      <c r="BG7" s="13" t="str">
        <f t="shared" si="11"/>
        <v>Legacy Maple 14x20 Bass Drum</v>
      </c>
      <c r="BH7" s="12" t="s">
        <v>28</v>
      </c>
      <c r="BI7" s="98"/>
      <c r="BK7" s="13" t="str">
        <f t="shared" si="9"/>
        <v>Legacy Mahogany 14x20 Bass Drum</v>
      </c>
      <c r="BL7" s="12" t="s">
        <v>28</v>
      </c>
      <c r="BM7" s="98"/>
      <c r="BN7" s="16"/>
      <c r="BO7" s="13" t="str">
        <f t="shared" si="12"/>
        <v>Legacy Exotic 14x20 Bass Drum</v>
      </c>
      <c r="BP7" s="12" t="s">
        <v>28</v>
      </c>
      <c r="BQ7" s="94"/>
      <c r="BR7" s="40" t="s">
        <v>687</v>
      </c>
      <c r="BS7" s="12" t="s">
        <v>28</v>
      </c>
      <c r="BT7" s="238"/>
      <c r="BU7" s="239" t="s">
        <v>28</v>
      </c>
      <c r="BV7" s="240" t="s">
        <v>687</v>
      </c>
      <c r="BW7" s="241">
        <f t="shared" si="1"/>
        <v>1648</v>
      </c>
      <c r="BX7" s="241">
        <f t="shared" si="1"/>
        <v>2567</v>
      </c>
      <c r="BY7" s="241">
        <f t="shared" si="1"/>
        <v>2567</v>
      </c>
      <c r="BZ7" s="241">
        <f t="shared" si="1"/>
        <v>2662</v>
      </c>
      <c r="CA7" s="241">
        <f t="shared" si="1"/>
        <v>1574</v>
      </c>
      <c r="CB7" s="242"/>
      <c r="CC7" s="243" t="s">
        <v>1014</v>
      </c>
      <c r="CD7" s="313">
        <v>85</v>
      </c>
      <c r="CE7" s="242"/>
      <c r="CF7" s="239" t="str">
        <f t="shared" si="2"/>
        <v>14x20 Bass Drum</v>
      </c>
      <c r="CG7" s="130" t="s">
        <v>120</v>
      </c>
      <c r="CH7" s="130" t="s">
        <v>182</v>
      </c>
      <c r="CI7" s="130" t="s">
        <v>240</v>
      </c>
      <c r="CJ7" s="130" t="s">
        <v>298</v>
      </c>
      <c r="CK7" s="130" t="s">
        <v>763</v>
      </c>
      <c r="CL7" s="94"/>
      <c r="CM7" s="288" t="s">
        <v>19</v>
      </c>
      <c r="CN7" s="27" t="str">
        <f t="shared" si="3"/>
        <v>Bass.12x26 Bass Drum</v>
      </c>
      <c r="CO7" s="12" t="s">
        <v>41</v>
      </c>
      <c r="CP7" s="93" t="str">
        <f t="shared" si="4"/>
        <v>MLLCLL</v>
      </c>
      <c r="CQ7" s="285" t="s">
        <v>831</v>
      </c>
      <c r="CR7" s="285" t="s">
        <v>829</v>
      </c>
      <c r="CS7" s="285" t="s">
        <v>731</v>
      </c>
      <c r="CT7" s="285"/>
      <c r="CU7" s="285"/>
      <c r="CV7" s="285"/>
      <c r="CW7" s="285"/>
      <c r="CX7" s="285"/>
      <c r="CY7" s="24">
        <f t="shared" si="5"/>
        <v>0</v>
      </c>
      <c r="CZ7" s="42" t="s">
        <v>855</v>
      </c>
      <c r="DA7" s="80"/>
      <c r="DB7" s="107"/>
      <c r="DC7" t="s">
        <v>841</v>
      </c>
      <c r="DD7" s="90">
        <f>CD122</f>
        <v>0</v>
      </c>
      <c r="DE7" s="97" t="s">
        <v>842</v>
      </c>
      <c r="DF7" s="285">
        <f t="shared" si="10"/>
        <v>0</v>
      </c>
      <c r="DG7" s="42" t="s">
        <v>859</v>
      </c>
      <c r="DH7" s="29" t="str">
        <f>IF(EO10=1, "LAP2984MT CHROME Atlas Double", "LAP2984MT Atlas Double")</f>
        <v>LAP2984MT Atlas Double</v>
      </c>
      <c r="DI7" s="90">
        <f t="shared" si="6"/>
        <v>160</v>
      </c>
      <c r="DJ7" s="97" t="s">
        <v>396</v>
      </c>
      <c r="DK7" s="24">
        <v>12</v>
      </c>
      <c r="DL7" s="24"/>
      <c r="DM7" s="24">
        <f t="shared" si="7"/>
        <v>0</v>
      </c>
      <c r="DN7" s="97" t="s">
        <v>1085</v>
      </c>
      <c r="DO7" s="45"/>
      <c r="DP7" s="45"/>
      <c r="DT7" s="45" t="s">
        <v>620</v>
      </c>
      <c r="DU7" s="45" t="s">
        <v>621</v>
      </c>
      <c r="DV7" s="45" t="s">
        <v>617</v>
      </c>
      <c r="DW7" s="45" t="s">
        <v>612</v>
      </c>
      <c r="DX7" s="45" t="s">
        <v>611</v>
      </c>
      <c r="DY7" s="45" t="s">
        <v>614</v>
      </c>
      <c r="DZ7" s="45" t="s">
        <v>615</v>
      </c>
      <c r="EA7" s="45" t="s">
        <v>618</v>
      </c>
      <c r="EC7" t="s">
        <v>7</v>
      </c>
      <c r="ED7" t="s">
        <v>870</v>
      </c>
      <c r="EE7" s="14" t="s">
        <v>867</v>
      </c>
      <c r="EF7" s="45"/>
      <c r="EG7" s="14"/>
      <c r="EH7" t="s">
        <v>1187</v>
      </c>
      <c r="EI7" s="46"/>
      <c r="EJ7" s="32"/>
      <c r="EL7" s="334" t="s">
        <v>1236</v>
      </c>
      <c r="EM7" s="64" t="s">
        <v>1237</v>
      </c>
      <c r="EN7" s="64" t="s">
        <v>1238</v>
      </c>
      <c r="EO7" s="338" t="s">
        <v>1239</v>
      </c>
      <c r="EP7" s="19"/>
      <c r="EQ7" s="19"/>
      <c r="ER7" s="19"/>
      <c r="EU7" s="24" t="s">
        <v>602</v>
      </c>
      <c r="EV7" s="60">
        <v>7</v>
      </c>
      <c r="EW7" s="70" t="s">
        <v>547</v>
      </c>
      <c r="EX7" s="62" t="str">
        <f t="shared" ref="EX7:FC7" si="13">B7</f>
        <v>Type</v>
      </c>
      <c r="EY7" s="62" t="str">
        <f t="shared" ca="1" si="13"/>
        <v>Size</v>
      </c>
      <c r="EZ7" s="62" t="str">
        <f t="shared" si="13"/>
        <v>Base Price</v>
      </c>
      <c r="FA7" s="62" t="str">
        <f t="shared" ca="1" si="13"/>
        <v>Lugs</v>
      </c>
      <c r="FB7" s="62" t="str">
        <f t="shared" si="13"/>
        <v>Lugs Price</v>
      </c>
      <c r="FC7" s="63" t="str">
        <f t="shared" ca="1" si="13"/>
        <v>Mounts</v>
      </c>
      <c r="FD7" s="19"/>
      <c r="FF7" t="s">
        <v>510</v>
      </c>
      <c r="FG7" t="s">
        <v>514</v>
      </c>
      <c r="FH7" t="s">
        <v>515</v>
      </c>
      <c r="FI7" s="97" t="s">
        <v>562</v>
      </c>
      <c r="FJ7" s="97" t="s">
        <v>564</v>
      </c>
      <c r="FK7" s="97" t="s">
        <v>563</v>
      </c>
      <c r="FL7" s="97" t="s">
        <v>565</v>
      </c>
      <c r="FM7" s="97" t="s">
        <v>373</v>
      </c>
      <c r="FN7" s="166" t="s">
        <v>921</v>
      </c>
      <c r="FO7" s="167" t="s">
        <v>922</v>
      </c>
      <c r="FP7" s="168" t="s">
        <v>923</v>
      </c>
      <c r="FQ7" s="65"/>
      <c r="FR7" s="44" t="s">
        <v>1207</v>
      </c>
      <c r="FS7" s="350">
        <f>COUNTIF($C$8:$C$20,FR7)</f>
        <v>0</v>
      </c>
      <c r="FT7" s="65"/>
      <c r="FU7" s="65"/>
      <c r="FV7" s="29"/>
      <c r="FW7" s="29"/>
      <c r="FX7" s="29"/>
      <c r="GD7" s="82" t="s">
        <v>0</v>
      </c>
      <c r="GE7" s="123" t="str">
        <f>IF($C8="","",$C$2)</f>
        <v/>
      </c>
      <c r="GF7" s="123" t="str">
        <f>IF($C9="","",$C$2)</f>
        <v/>
      </c>
      <c r="GG7" s="123" t="str">
        <f>IF($C10="","",$C$2)</f>
        <v/>
      </c>
      <c r="GH7" s="123" t="str">
        <f>IF($C11="","",$C$2)</f>
        <v/>
      </c>
      <c r="GI7" s="123" t="str">
        <f>IF($C12="","",$C$2)</f>
        <v/>
      </c>
      <c r="GJ7" s="123" t="str">
        <f>IF($C13="","",$C$2)</f>
        <v/>
      </c>
      <c r="GK7" s="123" t="str">
        <f>IF($C14="","",$C$2)</f>
        <v/>
      </c>
      <c r="GL7" s="86" t="str">
        <f>IF($C15="","",$C$2)</f>
        <v/>
      </c>
      <c r="GM7" s="86" t="str">
        <f>IF($C16="","",$C$2)</f>
        <v/>
      </c>
      <c r="GN7" s="86" t="str">
        <f>IF($C17="","",$C$2)</f>
        <v/>
      </c>
      <c r="GO7" s="86" t="str">
        <f>IF($C18="","",$C$2)</f>
        <v/>
      </c>
      <c r="GP7" s="86" t="str">
        <f>IF($C19="","",$C$2)</f>
        <v/>
      </c>
      <c r="GQ7" s="86" t="str">
        <f>IF($C20="","",$C$2)</f>
        <v/>
      </c>
    </row>
    <row r="8" spans="1:200" ht="15.75" x14ac:dyDescent="0.25">
      <c r="A8" s="197">
        <v>1</v>
      </c>
      <c r="B8" s="198"/>
      <c r="C8" s="198"/>
      <c r="D8" s="360" t="str">
        <f t="shared" ref="D8:D20" si="14">IF(OR($C$2="",C8=""),"",(INDEX($BU$1:$CB$82,MATCH(C8,$BU$1:$BU$82,0),MATCH(CONCATENATE($C$2," Price"),$BU$1:$CB$1,0)))*Q8/P8)</f>
        <v/>
      </c>
      <c r="E8" s="198"/>
      <c r="F8" s="360" t="str">
        <f t="shared" ref="F8:F20" si="15">IF(OR(B8="",E8=""),"",(INDEX($DC$3:$DD$23, MATCH(CONCATENATE(B8," ",E8),$DC$3:$DC$23,0),2)*Q8/P8))</f>
        <v/>
      </c>
      <c r="G8" s="199"/>
      <c r="H8" s="360" t="str">
        <f t="shared" ref="H8:H20" si="16">IF(G8="","",(INDEX($DH$3:$DI$36, MATCH(G8, $DH$3:$DH$40,0), 2)*Q8/P8))</f>
        <v/>
      </c>
      <c r="I8" s="360" t="str">
        <f t="shared" ref="I8:I20" si="17">IF(OR($C$2="",$C$3="",B8=""),"",(INDEX($AM$2:$AQ$14, MATCH(CONCATENATE($C$2," ", $AN$19),$AM$2:$AM$14,0), MATCH(B8,$AM$2:$AQ$2,0))+$D$5)*Q8/P8)</f>
        <v/>
      </c>
      <c r="J8" s="360" t="str">
        <f t="shared" ref="J8:J20" si="18">IFERROR(IF(C8="","",SUM(S8:W8)),0)</f>
        <v/>
      </c>
      <c r="K8" s="97" t="str">
        <f t="shared" ref="K8:K20" si="19">IF(OR($C$2="",B8="",C8="", E8="", G8=""),"",CONCATENATE(INDEX($BC$1:$CM$81,MATCH(C8,CF:CF,0),MATCH(CONCATENATE($C$2," Codif"),$BC$1:$CM$1,0)), INDEX($DH$3:$DJ$36, MATCH(G8,$DH$3:$DH$40,0),3), LEFT($C$3,2), INDEX($DC$3:$DE$23, MATCH(CONCATENATE(B8," ",E8),$DC$3:$DC$23,0),3), " Cstm"))</f>
        <v/>
      </c>
      <c r="L8" s="360">
        <f t="shared" ref="L8:L20" si="20">IFERROR((ROUND((D8+F8+H8+I8+J8)*A8,2)),0)</f>
        <v>0</v>
      </c>
      <c r="M8" s="296"/>
      <c r="P8" s="311">
        <f t="shared" ref="P8:P15" si="21">IFERROR(INDEX($CF:$CM,MATCH($AA8,$CF:$CF,0),MATCH("Retail",$CF$107:$CM$107,0)),0)</f>
        <v>0</v>
      </c>
      <c r="Q8" s="311">
        <f>IFERROR(INDEX($CF:$CM,MATCH($AA8,$CF:$CF,0),MATCH($L$1,$CF$107:$CM$107,0)),0)</f>
        <v>0</v>
      </c>
      <c r="R8" s="48"/>
      <c r="S8" s="303">
        <f t="shared" ref="S8:S20" si="22">IF($B8=$S$7,SUM($H$22:$H$30),0)</f>
        <v>0</v>
      </c>
      <c r="T8" s="303">
        <f t="shared" ref="T8:T20" si="23">IF($B8=$T$7,SUM($H$38:$H$42),0)</f>
        <v>0</v>
      </c>
      <c r="U8" s="303">
        <f t="shared" ref="U8:U20" si="24">IF($B8=$U$7,SUM($H$32:$H$36),0)</f>
        <v>0</v>
      </c>
      <c r="V8" s="303">
        <f t="shared" ref="V8:V20" si="25">IF($B8=$V$7, SUM($H$44:$H$50),0)</f>
        <v>0</v>
      </c>
      <c r="W8" s="303" t="e">
        <f t="shared" ref="W8:W20" si="26">IFERROR(IF(B8="",0, INDEX($CC$55:$CD$73,MATCH(CONCATENATE($C$2," ",$C$4),$CC$55:$CC$73,0),2)),0)*Q8/P8</f>
        <v>#DIV/0!</v>
      </c>
      <c r="X8" s="66" t="e">
        <f t="shared" ref="X8:X20" ca="1" si="27">(IF(B8="",0,IF(AND(B8&lt;&gt;"",AND(C8&lt;&gt;"",E8&lt;&gt;"",G8&lt;&gt;"")),0,1)))*Y8</f>
        <v>#N/A</v>
      </c>
      <c r="Y8" s="24" t="e">
        <f ca="1">IF($X$5=8,0,1)</f>
        <v>#N/A</v>
      </c>
      <c r="AA8" s="177" t="e">
        <f t="shared" ref="AA8:AA20" si="28">CONCATENATE(INDEX($AB$10:$AE$13,MATCH($B8,$AE$10:$AE$13,0),1)," ",INDEX($AC$3:$AE$7,MATCH($C$2,$AE$3:$AE$7,0),1)," ",$BV$1)</f>
        <v>#N/A</v>
      </c>
      <c r="AG8" s="144" t="s">
        <v>431</v>
      </c>
      <c r="AH8" s="146" t="s">
        <v>815</v>
      </c>
      <c r="AI8" s="45" t="s">
        <v>410</v>
      </c>
      <c r="AJ8" s="147" t="s">
        <v>620</v>
      </c>
      <c r="AK8" s="148" t="s">
        <v>431</v>
      </c>
      <c r="AL8" s="28"/>
      <c r="AM8" s="157" t="s">
        <v>823</v>
      </c>
      <c r="AN8" s="146">
        <f>CD25</f>
        <v>0</v>
      </c>
      <c r="AO8" s="146">
        <f>CD26</f>
        <v>0</v>
      </c>
      <c r="AP8" s="146">
        <f>CD27</f>
        <v>0</v>
      </c>
      <c r="AQ8" s="146">
        <f>CD28</f>
        <v>0</v>
      </c>
      <c r="AR8" s="144" t="s">
        <v>878</v>
      </c>
      <c r="AS8" s="28"/>
      <c r="AT8" s="1" t="s">
        <v>428</v>
      </c>
      <c r="AU8" s="4" t="s">
        <v>986</v>
      </c>
      <c r="AV8" s="2" t="s">
        <v>986</v>
      </c>
      <c r="AW8" s="1" t="s">
        <v>993</v>
      </c>
      <c r="AX8" s="2" t="s">
        <v>986</v>
      </c>
      <c r="BA8" s="12" t="s">
        <v>29</v>
      </c>
      <c r="BB8" s="12"/>
      <c r="BC8" s="13" t="str">
        <f t="shared" si="8"/>
        <v>Classic Maple 16x20 Bass Drum</v>
      </c>
      <c r="BD8" s="12" t="s">
        <v>29</v>
      </c>
      <c r="BE8" s="101"/>
      <c r="BG8" s="13" t="str">
        <f t="shared" si="11"/>
        <v>Legacy Maple 16x20 Bass Drum</v>
      </c>
      <c r="BH8" s="12" t="s">
        <v>29</v>
      </c>
      <c r="BI8" s="98"/>
      <c r="BK8" s="13" t="str">
        <f t="shared" si="9"/>
        <v>Legacy Mahogany 16x20 Bass Drum</v>
      </c>
      <c r="BL8" s="12" t="s">
        <v>29</v>
      </c>
      <c r="BM8" s="98"/>
      <c r="BN8" s="16"/>
      <c r="BO8" s="13" t="str">
        <f t="shared" si="12"/>
        <v>Legacy Exotic 16x20 Bass Drum</v>
      </c>
      <c r="BP8" s="12" t="s">
        <v>29</v>
      </c>
      <c r="BQ8" s="94"/>
      <c r="BR8" s="40" t="s">
        <v>688</v>
      </c>
      <c r="BS8" s="12" t="s">
        <v>29</v>
      </c>
      <c r="BT8" s="238"/>
      <c r="BU8" s="239" t="s">
        <v>29</v>
      </c>
      <c r="BV8" s="240" t="s">
        <v>688</v>
      </c>
      <c r="BW8" s="241">
        <f t="shared" si="1"/>
        <v>1648</v>
      </c>
      <c r="BX8" s="241">
        <f t="shared" si="1"/>
        <v>2567</v>
      </c>
      <c r="BY8" s="241">
        <f t="shared" si="1"/>
        <v>2567</v>
      </c>
      <c r="BZ8" s="241">
        <f t="shared" si="1"/>
        <v>2662</v>
      </c>
      <c r="CA8" s="241">
        <f t="shared" si="1"/>
        <v>1574</v>
      </c>
      <c r="CB8" s="242"/>
      <c r="CC8" s="243" t="s">
        <v>1015</v>
      </c>
      <c r="CD8" s="313">
        <v>110</v>
      </c>
      <c r="CE8" s="242"/>
      <c r="CF8" s="239" t="str">
        <f t="shared" si="2"/>
        <v>16x20 Bass Drum</v>
      </c>
      <c r="CG8" s="130" t="s">
        <v>121</v>
      </c>
      <c r="CH8" s="130" t="s">
        <v>183</v>
      </c>
      <c r="CI8" s="130" t="s">
        <v>241</v>
      </c>
      <c r="CJ8" s="130" t="s">
        <v>299</v>
      </c>
      <c r="CK8" s="130" t="s">
        <v>764</v>
      </c>
      <c r="CL8" s="94"/>
      <c r="CM8" s="288" t="s">
        <v>19</v>
      </c>
      <c r="CN8" s="27" t="str">
        <f t="shared" si="3"/>
        <v>Bass.14x18 Bass Drum</v>
      </c>
      <c r="CO8" s="12" t="s">
        <v>25</v>
      </c>
      <c r="CP8" s="93" t="str">
        <f t="shared" si="4"/>
        <v>MLLCLL</v>
      </c>
      <c r="CQ8" s="285" t="s">
        <v>831</v>
      </c>
      <c r="CR8" s="285" t="s">
        <v>829</v>
      </c>
      <c r="CS8" s="285" t="s">
        <v>731</v>
      </c>
      <c r="CT8" s="285"/>
      <c r="CU8" s="285"/>
      <c r="CV8" s="285"/>
      <c r="CW8" s="285"/>
      <c r="CX8" s="285"/>
      <c r="CY8" s="24">
        <f t="shared" si="5"/>
        <v>0</v>
      </c>
      <c r="CZ8" s="42" t="s">
        <v>855</v>
      </c>
      <c r="DA8" s="80"/>
      <c r="DB8" s="107"/>
      <c r="DC8" t="s">
        <v>364</v>
      </c>
      <c r="DD8" s="90">
        <f>CD123</f>
        <v>0</v>
      </c>
      <c r="DF8" s="285">
        <f t="shared" si="10"/>
        <v>0</v>
      </c>
      <c r="DH8" s="29" t="str">
        <f>IF(EO10=1, "LAP2985MT CHROME Atlas Single",  "LAP2985MT Atlas Single")</f>
        <v>LAP2985MT Atlas Single</v>
      </c>
      <c r="DI8" s="90">
        <f t="shared" si="6"/>
        <v>130</v>
      </c>
      <c r="DJ8" s="97" t="s">
        <v>397</v>
      </c>
      <c r="DK8" s="24">
        <v>12</v>
      </c>
      <c r="DL8" s="24"/>
      <c r="DM8" s="24">
        <f t="shared" si="7"/>
        <v>0</v>
      </c>
      <c r="DN8" s="27"/>
      <c r="DO8" s="45"/>
      <c r="DP8" s="45"/>
      <c r="DQ8" s="43"/>
      <c r="DT8" s="41" t="s">
        <v>411</v>
      </c>
      <c r="DU8" s="41" t="s">
        <v>410</v>
      </c>
      <c r="DV8" s="41" t="s">
        <v>410</v>
      </c>
      <c r="DW8" s="41" t="s">
        <v>413</v>
      </c>
      <c r="DX8" s="41" t="s">
        <v>622</v>
      </c>
      <c r="DY8" s="41" t="s">
        <v>421</v>
      </c>
      <c r="DZ8" s="41" t="s">
        <v>413</v>
      </c>
      <c r="EA8" s="108" t="s">
        <v>622</v>
      </c>
      <c r="EC8" t="s">
        <v>8</v>
      </c>
      <c r="ED8" t="s">
        <v>871</v>
      </c>
      <c r="EE8" s="14" t="s">
        <v>867</v>
      </c>
      <c r="EF8" s="45"/>
      <c r="EG8" s="14"/>
      <c r="EH8" s="114">
        <f t="shared" ref="EH8:EH20" si="29">IF(AND(B8 = "Bass",OR(E8="Large Twin", E8 = "Large Imperial")),1,0)</f>
        <v>0</v>
      </c>
      <c r="EI8" s="46"/>
      <c r="EJ8" s="32"/>
      <c r="EK8" s="19">
        <v>1</v>
      </c>
      <c r="EL8" s="178">
        <f>B8</f>
        <v>0</v>
      </c>
      <c r="EM8" s="64" t="str">
        <f t="shared" ref="EM8:EM20" si="30">IF(EL8="Bass",INDEX($CF$2:$CZ$23,MATCH(C8,$CF$2:$CF$23,0),21),"")</f>
        <v/>
      </c>
      <c r="EN8" s="64" t="str">
        <f t="shared" ref="EN8:EN14" si="31">IF(B8="Bass",E8,"")</f>
        <v/>
      </c>
      <c r="EO8" s="64" t="str">
        <f>IF($G$30="Single","Single","Double")</f>
        <v>Double</v>
      </c>
      <c r="EP8" s="19"/>
      <c r="EQ8" s="19"/>
      <c r="ER8" s="19"/>
      <c r="EU8" s="24">
        <f t="shared" ref="EU8:EU20" si="32">IF(B8="",0,EW8)</f>
        <v>0</v>
      </c>
      <c r="EV8" s="60">
        <v>8</v>
      </c>
      <c r="EW8" s="64">
        <f t="shared" ref="EW8:EW20" si="33">A8</f>
        <v>1</v>
      </c>
      <c r="EX8" s="19">
        <f t="shared" ref="EX8:EX20" si="34">B8</f>
        <v>0</v>
      </c>
      <c r="EY8" s="19">
        <f t="shared" ref="EY8:EY20" si="35">C8</f>
        <v>0</v>
      </c>
      <c r="EZ8" s="55" t="str">
        <f t="shared" ref="EZ8:EZ21" si="36">D8</f>
        <v/>
      </c>
      <c r="FA8" s="19">
        <f t="shared" ref="FA8:FA20" si="37">E8</f>
        <v>0</v>
      </c>
      <c r="FB8" s="55" t="str">
        <f t="shared" ref="FB8:FB20" si="38">F8</f>
        <v/>
      </c>
      <c r="FC8" s="56">
        <f t="shared" ref="FC8:FC20" si="39">G8</f>
        <v>0</v>
      </c>
      <c r="FD8" s="139" t="str">
        <f t="shared" ref="FD8:FD20" si="40">CONCATENATE(B8," ",E8)</f>
        <v xml:space="preserve"> </v>
      </c>
      <c r="FF8" s="66">
        <f t="shared" ref="FF8:FF20" ca="1" si="41">IF(C8="",0,IF(ISERROR(MATCH(C8,INDIRECT(CONCATENATE(INDEX($AE$3:$AF$7,MATCH($C$2,$AE$3:$AE$7,0),2),"_",B8,"_Size")),0))=FALSE,0,1))</f>
        <v>0</v>
      </c>
      <c r="FG8" s="66" t="str">
        <f t="shared" ref="FG8:FG20" ca="1" si="42">IF(E8="","", IF(COUNTIF(INDIRECT(INDEX($CO$2:$CP$74,MATCH(C8,$CO$2:$CO$74,0),2)),E8)&gt;0,0,1) )</f>
        <v/>
      </c>
      <c r="FH8" s="66" t="str">
        <f t="shared" ref="FH8:FH20" ca="1" si="43">IF(G8="","", IF(COUNTIF( INDIRECT(FM8),G8)&gt;0,0,1))</f>
        <v/>
      </c>
      <c r="FI8" s="97" t="str">
        <f t="shared" ref="FI8:FI20" si="44">IF(AND($B8="Bass", OR(E8="Large Imperial",E8 = "Large Twin",E8 = "Mach Lugs")),"LL_Bass_Mounts", IF(B8="Bass","Bass_Mounts",""))</f>
        <v/>
      </c>
      <c r="FJ8" s="97" t="str">
        <f t="shared" ref="FJ8:FJ20" si="45">IF(AND($B8="Floor", OR(E8="Large Imperial",E8 = "Large Twin",E8 = "Mach Lugs")),"LL_Floor_Mounts", IF(B8="Floor","Floor_Mounts",""))</f>
        <v/>
      </c>
      <c r="FK8" s="97" t="str">
        <f t="shared" ref="FK8:FK20" si="46">IF(B8="Tom",CONCATENATE(INDEX($CO$34:$CY$62, MATCH(C8,$CO$34:$CO$62,0),11),".", INDEX($DD$66:$DE$70,MATCH(E8,$DD$66:$DD$70,0), 2)),"")</f>
        <v/>
      </c>
      <c r="FL8" s="97" t="str">
        <f t="shared" ref="FL8:FL20" si="47">IF(B8="Snare",INDEX($DE$43:$DF$54,MATCH(C8, $DE$43:$DE$54,0),2),"")</f>
        <v/>
      </c>
      <c r="FM8" s="97" t="str">
        <f t="shared" ref="FM8:FM20" si="48">CONCATENATE(FI8,FJ8,FK8,FL8)</f>
        <v/>
      </c>
      <c r="FN8" s="169" t="str">
        <f t="shared" ref="FN8:FN20" si="49">IF($C$2 = "Classic Maple", IF(AND($B8="Tom", OR($E8="Small Twin",$E8="Small Imperial",$E8="Mach Lugs")),"TT_Double", IF(AND($B8="Tom",OR($E8 ="Mini Classic",$E8 = "Large Classic")),"TT_Choice","")),"TT_Double")</f>
        <v/>
      </c>
      <c r="FO8" s="65" t="str">
        <f t="shared" ref="FO8:FO20" si="50">IF($C$2 = "Classic Maple", IF(AND($B8="Floor", OR($E8="Large Twin",$E8="Large Imperial",$E8="Mach Lugs",$G8="PM0046  Atlas Brkts/Legs")),"FT_Double", IF(AND($B8="Floor",OR($E8 ="Mini Classic",$E8 = "Large Classic")),"FT_Choice","")),"FT_Double")</f>
        <v/>
      </c>
      <c r="FP8" s="170" t="str">
        <f t="shared" ref="FP8:FP20" si="51">IF($C$2 = "Classic Maple", IF(AND($B8="Bass", OR($E8="Large Twin",$E8="Large Imperial",$E8="Mach Lugs",$G$24 = "Atlas Anchor")),"BD_Double", IF(AND($B8="Bass",OR($E8 ="Mini Classic",$E8 = "Large Classic")),"BD_Choice","")),"BD_Double")</f>
        <v/>
      </c>
      <c r="FQ8" s="65"/>
      <c r="FR8" s="65"/>
      <c r="FS8" s="65"/>
      <c r="FT8" s="65"/>
      <c r="FU8" s="65"/>
      <c r="FV8" s="29"/>
      <c r="FW8" s="29"/>
      <c r="FX8" s="29"/>
      <c r="FY8" s="29"/>
      <c r="GD8" s="82" t="s">
        <v>16</v>
      </c>
      <c r="GE8" s="124" t="str">
        <f>IF(B8="","",$B8)</f>
        <v/>
      </c>
      <c r="GF8" s="124" t="str">
        <f>IF(B9="","",$B9)</f>
        <v/>
      </c>
      <c r="GG8" s="124" t="str">
        <f>IF(B10="","",B10)</f>
        <v/>
      </c>
      <c r="GH8" s="124" t="str">
        <f>IF(B11="","",B11)</f>
        <v/>
      </c>
      <c r="GI8" s="124" t="str">
        <f>IF(B12="","",B12)</f>
        <v/>
      </c>
      <c r="GJ8" s="124" t="str">
        <f>IF(B13="","",B13)</f>
        <v/>
      </c>
      <c r="GK8" s="124" t="str">
        <f>IF(B14="","",B14)</f>
        <v/>
      </c>
      <c r="GL8" s="88" t="str">
        <f>IF(B15="","",B15)</f>
        <v/>
      </c>
      <c r="GM8" s="88" t="str">
        <f>IF(B16="","",B16)</f>
        <v/>
      </c>
      <c r="GN8" s="88" t="str">
        <f>IF(B17="","",B17)</f>
        <v/>
      </c>
      <c r="GO8" s="88" t="str">
        <f>IF(B18="","",B18)</f>
        <v/>
      </c>
      <c r="GP8" s="88" t="str">
        <f>IF(B19="","",B19)</f>
        <v/>
      </c>
      <c r="GQ8" s="88" t="str">
        <f>IF(B20="","",B20)</f>
        <v/>
      </c>
    </row>
    <row r="9" spans="1:200" ht="15.75" x14ac:dyDescent="0.25">
      <c r="A9" s="197">
        <v>1</v>
      </c>
      <c r="B9" s="198"/>
      <c r="C9" s="198"/>
      <c r="D9" s="360" t="str">
        <f t="shared" si="14"/>
        <v/>
      </c>
      <c r="E9" s="198"/>
      <c r="F9" s="360" t="str">
        <f t="shared" si="15"/>
        <v/>
      </c>
      <c r="G9" s="199"/>
      <c r="H9" s="360" t="str">
        <f t="shared" si="16"/>
        <v/>
      </c>
      <c r="I9" s="360" t="str">
        <f t="shared" si="17"/>
        <v/>
      </c>
      <c r="J9" s="360" t="str">
        <f t="shared" si="18"/>
        <v/>
      </c>
      <c r="K9" s="97" t="str">
        <f t="shared" si="19"/>
        <v/>
      </c>
      <c r="L9" s="360">
        <f t="shared" si="20"/>
        <v>0</v>
      </c>
      <c r="M9" s="296"/>
      <c r="P9" s="311">
        <f t="shared" si="21"/>
        <v>0</v>
      </c>
      <c r="Q9" s="311">
        <f>IFERROR(INDEX($CF:$CM,MATCH($AA9,$CF:$CF,0),MATCH($L$1,$CF$107:$CM$107,0)),0)</f>
        <v>0</v>
      </c>
      <c r="R9" s="48"/>
      <c r="S9" s="303">
        <f t="shared" si="22"/>
        <v>0</v>
      </c>
      <c r="T9" s="303">
        <f t="shared" si="23"/>
        <v>0</v>
      </c>
      <c r="U9" s="303">
        <f t="shared" si="24"/>
        <v>0</v>
      </c>
      <c r="V9" s="303">
        <f t="shared" si="25"/>
        <v>0</v>
      </c>
      <c r="W9" s="303" t="e">
        <f t="shared" si="26"/>
        <v>#DIV/0!</v>
      </c>
      <c r="X9" s="66" t="e">
        <f t="shared" ca="1" si="27"/>
        <v>#N/A</v>
      </c>
      <c r="Y9" s="24" t="e">
        <f ca="1">IF($X$5=9,0,1)</f>
        <v>#N/A</v>
      </c>
      <c r="AA9" s="177" t="e">
        <f t="shared" si="28"/>
        <v>#N/A</v>
      </c>
      <c r="AC9" t="s">
        <v>110</v>
      </c>
      <c r="AD9" s="24" t="s">
        <v>906</v>
      </c>
      <c r="AE9" s="6" t="s">
        <v>16</v>
      </c>
      <c r="AF9" s="6"/>
      <c r="AG9" s="144" t="s">
        <v>432</v>
      </c>
      <c r="AH9" s="146" t="s">
        <v>815</v>
      </c>
      <c r="AI9" s="45" t="s">
        <v>410</v>
      </c>
      <c r="AJ9" s="147" t="s">
        <v>620</v>
      </c>
      <c r="AK9" s="148" t="s">
        <v>432</v>
      </c>
      <c r="AL9" s="28"/>
      <c r="AM9" s="157" t="s">
        <v>824</v>
      </c>
      <c r="AN9" s="146">
        <f>CD29</f>
        <v>95</v>
      </c>
      <c r="AO9" s="146">
        <f>CD30</f>
        <v>120</v>
      </c>
      <c r="AP9" s="146">
        <f>CD31</f>
        <v>145</v>
      </c>
      <c r="AQ9" s="146">
        <f>CD32</f>
        <v>145</v>
      </c>
      <c r="AR9" s="144" t="s">
        <v>878</v>
      </c>
      <c r="AS9" s="28"/>
      <c r="AT9" s="1" t="s">
        <v>430</v>
      </c>
      <c r="AU9" s="4" t="s">
        <v>435</v>
      </c>
      <c r="AV9" s="2" t="s">
        <v>435</v>
      </c>
      <c r="AW9" s="9" t="s">
        <v>461</v>
      </c>
      <c r="AX9" s="2" t="s">
        <v>435</v>
      </c>
      <c r="BA9" s="12" t="s">
        <v>30</v>
      </c>
      <c r="BB9" s="12"/>
      <c r="BC9" s="13" t="str">
        <f t="shared" si="8"/>
        <v>Classic Maple 18x20 Bass Drum</v>
      </c>
      <c r="BD9" s="12" t="s">
        <v>30</v>
      </c>
      <c r="BE9" s="101"/>
      <c r="BG9" s="13" t="str">
        <f t="shared" si="11"/>
        <v>Legacy Maple 18x20 Bass Drum</v>
      </c>
      <c r="BH9" s="12" t="s">
        <v>30</v>
      </c>
      <c r="BI9" s="98"/>
      <c r="BK9" s="13" t="str">
        <f t="shared" si="9"/>
        <v>Legacy Mahogany 18x20 Bass Drum</v>
      </c>
      <c r="BL9" s="12" t="s">
        <v>30</v>
      </c>
      <c r="BM9" s="98"/>
      <c r="BN9" s="16"/>
      <c r="BO9" s="13" t="str">
        <f t="shared" si="12"/>
        <v>Legacy Exotic 18x20 Bass Drum</v>
      </c>
      <c r="BP9" s="12" t="s">
        <v>30</v>
      </c>
      <c r="BQ9" s="94"/>
      <c r="BR9" s="40" t="s">
        <v>689</v>
      </c>
      <c r="BS9" s="12" t="s">
        <v>30</v>
      </c>
      <c r="BT9" s="238"/>
      <c r="BU9" s="239" t="s">
        <v>30</v>
      </c>
      <c r="BV9" s="240" t="s">
        <v>689</v>
      </c>
      <c r="BW9" s="241">
        <f t="shared" si="1"/>
        <v>1703</v>
      </c>
      <c r="BX9" s="241">
        <f t="shared" si="1"/>
        <v>2567</v>
      </c>
      <c r="BY9" s="241">
        <f t="shared" si="1"/>
        <v>2567</v>
      </c>
      <c r="BZ9" s="241">
        <f t="shared" si="1"/>
        <v>2662</v>
      </c>
      <c r="CA9" s="241">
        <f t="shared" si="1"/>
        <v>1574</v>
      </c>
      <c r="CB9" s="242"/>
      <c r="CC9" s="243" t="s">
        <v>1016</v>
      </c>
      <c r="CD9" s="313">
        <v>135</v>
      </c>
      <c r="CE9" s="242"/>
      <c r="CF9" s="239" t="str">
        <f t="shared" si="2"/>
        <v>18x20 Bass Drum</v>
      </c>
      <c r="CG9" s="130" t="s">
        <v>122</v>
      </c>
      <c r="CH9" s="130" t="s">
        <v>184</v>
      </c>
      <c r="CI9" s="130" t="s">
        <v>242</v>
      </c>
      <c r="CJ9" s="130" t="s">
        <v>300</v>
      </c>
      <c r="CK9" s="130" t="s">
        <v>765</v>
      </c>
      <c r="CL9" s="94"/>
      <c r="CM9" s="288" t="s">
        <v>19</v>
      </c>
      <c r="CN9" s="27" t="str">
        <f t="shared" si="3"/>
        <v>Bass.14x20 Bass Drum</v>
      </c>
      <c r="CO9" s="12" t="s">
        <v>28</v>
      </c>
      <c r="CP9" s="93" t="str">
        <f t="shared" si="4"/>
        <v>MLLCLLLILT</v>
      </c>
      <c r="CQ9" s="285" t="s">
        <v>831</v>
      </c>
      <c r="CR9" s="285" t="s">
        <v>829</v>
      </c>
      <c r="CS9" s="285" t="s">
        <v>731</v>
      </c>
      <c r="CT9" s="285" t="s">
        <v>830</v>
      </c>
      <c r="CU9" s="285" t="s">
        <v>832</v>
      </c>
      <c r="CV9" s="285"/>
      <c r="CW9" s="285"/>
      <c r="CX9" s="285"/>
      <c r="CY9" s="24">
        <f t="shared" si="5"/>
        <v>0</v>
      </c>
      <c r="CZ9" s="42" t="s">
        <v>855</v>
      </c>
      <c r="DA9" s="80"/>
      <c r="DB9" s="107"/>
      <c r="DC9" t="s">
        <v>365</v>
      </c>
      <c r="DD9" s="90">
        <f>CD124</f>
        <v>30</v>
      </c>
      <c r="DE9" s="97" t="s">
        <v>387</v>
      </c>
      <c r="DF9" s="285">
        <f t="shared" si="10"/>
        <v>0</v>
      </c>
      <c r="DH9" s="29" t="str">
        <f>IF(EO14=1, "LAC2983MT CHROME Atlas Arch",  "LAC2983MT Atlas Arch Single")</f>
        <v>LAC2983MT Atlas Arch Single</v>
      </c>
      <c r="DI9" s="90">
        <f t="shared" si="6"/>
        <v>190</v>
      </c>
      <c r="DJ9" s="97" t="s">
        <v>394</v>
      </c>
      <c r="DK9" s="24">
        <v>12</v>
      </c>
      <c r="DL9" s="24"/>
      <c r="DM9" s="24">
        <f t="shared" si="7"/>
        <v>0</v>
      </c>
      <c r="DN9" s="27"/>
      <c r="DO9" s="45"/>
      <c r="DP9" s="45"/>
      <c r="DQ9" s="41"/>
      <c r="DS9" s="41"/>
      <c r="DT9" s="41" t="s">
        <v>412</v>
      </c>
      <c r="DU9" s="41" t="s">
        <v>412</v>
      </c>
      <c r="DV9" s="41" t="s">
        <v>411</v>
      </c>
      <c r="DW9" s="41"/>
      <c r="DX9" s="41" t="s">
        <v>421</v>
      </c>
      <c r="DY9" s="41"/>
      <c r="DZ9" s="41" t="s">
        <v>622</v>
      </c>
      <c r="EA9" s="41"/>
      <c r="EB9" s="43"/>
      <c r="EC9" s="43" t="s">
        <v>657</v>
      </c>
      <c r="ED9" t="s">
        <v>872</v>
      </c>
      <c r="EE9" s="14" t="s">
        <v>865</v>
      </c>
      <c r="EF9" s="45"/>
      <c r="EG9" s="14"/>
      <c r="EH9" s="114">
        <f t="shared" si="29"/>
        <v>0</v>
      </c>
      <c r="EI9" s="46"/>
      <c r="EJ9" s="32"/>
      <c r="EK9" s="19">
        <v>2</v>
      </c>
      <c r="EL9" s="178">
        <f t="shared" ref="EL9:EL20" si="52">B9</f>
        <v>0</v>
      </c>
      <c r="EM9" s="64" t="str">
        <f t="shared" si="30"/>
        <v/>
      </c>
      <c r="EN9" s="64" t="str">
        <f t="shared" si="31"/>
        <v/>
      </c>
      <c r="EO9" s="64" t="str">
        <f t="shared" ref="EO9:EO20" si="53">IF(G31="Single","Single","Double")</f>
        <v>Double</v>
      </c>
      <c r="EP9" s="19"/>
      <c r="EQ9" s="19"/>
      <c r="ER9" s="19"/>
      <c r="EU9" s="24">
        <f t="shared" si="32"/>
        <v>0</v>
      </c>
      <c r="EV9" s="60">
        <v>9</v>
      </c>
      <c r="EW9" s="64">
        <f t="shared" si="33"/>
        <v>1</v>
      </c>
      <c r="EX9" s="19">
        <f t="shared" si="34"/>
        <v>0</v>
      </c>
      <c r="EY9" s="19">
        <f t="shared" si="35"/>
        <v>0</v>
      </c>
      <c r="EZ9" s="55" t="str">
        <f t="shared" si="36"/>
        <v/>
      </c>
      <c r="FA9" s="19">
        <f t="shared" si="37"/>
        <v>0</v>
      </c>
      <c r="FB9" s="55" t="str">
        <f t="shared" si="38"/>
        <v/>
      </c>
      <c r="FC9" s="56">
        <f t="shared" si="39"/>
        <v>0</v>
      </c>
      <c r="FD9" s="139" t="str">
        <f t="shared" si="40"/>
        <v xml:space="preserve"> </v>
      </c>
      <c r="FF9" s="66">
        <f t="shared" ca="1" si="41"/>
        <v>0</v>
      </c>
      <c r="FG9" s="66" t="str">
        <f t="shared" ca="1" si="42"/>
        <v/>
      </c>
      <c r="FH9" s="66" t="str">
        <f t="shared" ca="1" si="43"/>
        <v/>
      </c>
      <c r="FI9" s="97" t="str">
        <f t="shared" si="44"/>
        <v/>
      </c>
      <c r="FJ9" s="97" t="str">
        <f t="shared" si="45"/>
        <v/>
      </c>
      <c r="FK9" s="97" t="str">
        <f t="shared" si="46"/>
        <v/>
      </c>
      <c r="FL9" s="97" t="str">
        <f t="shared" si="47"/>
        <v/>
      </c>
      <c r="FM9" s="97" t="str">
        <f t="shared" si="48"/>
        <v/>
      </c>
      <c r="FN9" s="169" t="str">
        <f t="shared" si="49"/>
        <v/>
      </c>
      <c r="FO9" s="65" t="str">
        <f t="shared" si="50"/>
        <v/>
      </c>
      <c r="FP9" s="170" t="str">
        <f t="shared" si="51"/>
        <v/>
      </c>
      <c r="FQ9" s="65"/>
      <c r="FR9" s="12" t="s">
        <v>83</v>
      </c>
      <c r="FS9" s="65">
        <f t="shared" ref="FS9:FS18" si="54">COUNTIF($C$8:$C$20,FR9)</f>
        <v>0</v>
      </c>
      <c r="FT9" s="65"/>
      <c r="FU9" s="65"/>
      <c r="FV9" s="29"/>
      <c r="FW9" s="29"/>
      <c r="FX9" s="29"/>
      <c r="FY9" s="29"/>
      <c r="GD9" s="82" t="s">
        <v>17</v>
      </c>
      <c r="GE9" s="176" t="str">
        <f>IF(C8="","", IF(AND($C$6="Size/Shell Error",D8=0), "Size/Shell Error",C8))</f>
        <v/>
      </c>
      <c r="GF9" s="176" t="str">
        <f>IF($C$9="","", IF(AND($C$6="Size/Shell Error",$D$9=0), "Size/Shell Error",$C$9))</f>
        <v/>
      </c>
      <c r="GG9" s="176" t="str">
        <f>IF($C$10="","", IF(AND($C$6="Size/Shell Error",$D$10=0), "Size/Shell Error",$C$10))</f>
        <v/>
      </c>
      <c r="GH9" s="176" t="str">
        <f>IF($C$11="","", IF(AND($C$6="Size/Shell Error",$D$11=0), "Size/Shell Error",$C$11))</f>
        <v/>
      </c>
      <c r="GI9" s="176" t="str">
        <f>IF($C$12="","", IF(AND($C$6="Size/Shell Error",$D$12=0), "Size/Shell Error",$C$12))</f>
        <v/>
      </c>
      <c r="GJ9" s="176" t="str">
        <f>IF($C$13="","", IF(AND($C$6="Size/Shell Error",$D$13=0), "Size/Shell Error",$C$13))</f>
        <v/>
      </c>
      <c r="GK9" s="176" t="str">
        <f>IF($C$14="","", IF(AND($C$6="Size/Shell Error",$D$14=0), "Size/Shell Error",$C$14))</f>
        <v/>
      </c>
      <c r="GL9" s="177" t="str">
        <f>IF($C$15="","", IF(AND($C$6="Size/Shell Error",$D$15=0), "Size/Shell Error",$C$15))</f>
        <v/>
      </c>
      <c r="GM9" s="177" t="str">
        <f>IF($C$16="","", IF(AND($C$6="Size/Shell Error",$D$16=0), "Size/Shell Error",$C$16))</f>
        <v/>
      </c>
      <c r="GN9" s="177" t="str">
        <f>IF($C$17="","", IF(AND($C$6="Size/Shell Error",$D$17=0), "Size/Shell Error",$C$17))</f>
        <v/>
      </c>
      <c r="GO9" s="177" t="str">
        <f>IF($C$18="","", IF(AND($C$6="Size/Shell Error",$D$18=0), "Size/Shell Error",$C$18))</f>
        <v/>
      </c>
      <c r="GP9" s="177" t="str">
        <f>IF($C$19="","", IF(AND($C$6="Size/Shell Error",$D$19=0), "Size/Shell Error",$C$19))</f>
        <v/>
      </c>
      <c r="GQ9" s="177" t="str">
        <f>IF($C$20="","", IF(AND($C$6="Size/Shell Error",$D$20=0), "Size/Shell Error",$C$20))</f>
        <v/>
      </c>
    </row>
    <row r="10" spans="1:200" ht="15.75" x14ac:dyDescent="0.25">
      <c r="A10" s="197">
        <v>1</v>
      </c>
      <c r="B10" s="198"/>
      <c r="C10" s="198"/>
      <c r="D10" s="360" t="str">
        <f t="shared" si="14"/>
        <v/>
      </c>
      <c r="E10" s="198"/>
      <c r="F10" s="360" t="str">
        <f t="shared" si="15"/>
        <v/>
      </c>
      <c r="G10" s="199"/>
      <c r="H10" s="360" t="str">
        <f t="shared" si="16"/>
        <v/>
      </c>
      <c r="I10" s="360" t="str">
        <f t="shared" si="17"/>
        <v/>
      </c>
      <c r="J10" s="360" t="str">
        <f t="shared" si="18"/>
        <v/>
      </c>
      <c r="K10" s="97" t="str">
        <f t="shared" si="19"/>
        <v/>
      </c>
      <c r="L10" s="360">
        <f t="shared" si="20"/>
        <v>0</v>
      </c>
      <c r="M10" s="296"/>
      <c r="P10" s="311">
        <f t="shared" si="21"/>
        <v>0</v>
      </c>
      <c r="Q10" s="311">
        <f t="shared" ref="Q10:Q20" si="55">IFERROR(INDEX($CF:$CM,MATCH($AA10,$CF:$CF,0),MATCH($L$1,$CF$107:$CM$107,0)),0)</f>
        <v>0</v>
      </c>
      <c r="R10" s="48"/>
      <c r="S10" s="303">
        <f t="shared" si="22"/>
        <v>0</v>
      </c>
      <c r="T10" s="303">
        <f t="shared" si="23"/>
        <v>0</v>
      </c>
      <c r="U10" s="303">
        <f t="shared" si="24"/>
        <v>0</v>
      </c>
      <c r="V10" s="303">
        <f t="shared" si="25"/>
        <v>0</v>
      </c>
      <c r="W10" s="303" t="e">
        <f t="shared" si="26"/>
        <v>#DIV/0!</v>
      </c>
      <c r="X10" s="66" t="e">
        <f t="shared" ca="1" si="27"/>
        <v>#N/A</v>
      </c>
      <c r="Y10" s="24" t="e">
        <f ca="1">IF($X$5=10,0,1)</f>
        <v>#N/A</v>
      </c>
      <c r="AA10" s="177" t="e">
        <f t="shared" si="28"/>
        <v>#N/A</v>
      </c>
      <c r="AB10" s="288" t="s">
        <v>1160</v>
      </c>
      <c r="AC10" t="s">
        <v>945</v>
      </c>
      <c r="AD10" s="24">
        <f>COUNTIF($B$8:$B$20,AE10)</f>
        <v>0</v>
      </c>
      <c r="AE10" t="s">
        <v>19</v>
      </c>
      <c r="AF10" t="s">
        <v>112</v>
      </c>
      <c r="AG10" s="151" t="s">
        <v>434</v>
      </c>
      <c r="AH10" s="152" t="s">
        <v>815</v>
      </c>
      <c r="AI10" s="211" t="s">
        <v>410</v>
      </c>
      <c r="AJ10" s="212" t="s">
        <v>620</v>
      </c>
      <c r="AK10" s="213" t="s">
        <v>434</v>
      </c>
      <c r="AL10" s="28"/>
      <c r="AM10" s="157" t="s">
        <v>825</v>
      </c>
      <c r="AN10" s="146">
        <f>CD34</f>
        <v>0</v>
      </c>
      <c r="AO10" s="146">
        <f>CD35</f>
        <v>0</v>
      </c>
      <c r="AP10" s="146">
        <f>CD36</f>
        <v>0</v>
      </c>
      <c r="AQ10" s="146">
        <f>CD37</f>
        <v>0</v>
      </c>
      <c r="AR10" s="144" t="s">
        <v>878</v>
      </c>
      <c r="AS10" s="28"/>
      <c r="AT10" s="1" t="s">
        <v>983</v>
      </c>
      <c r="AU10" s="4" t="s">
        <v>436</v>
      </c>
      <c r="AV10" s="2" t="s">
        <v>436</v>
      </c>
      <c r="AW10" s="9" t="s">
        <v>462</v>
      </c>
      <c r="AX10" s="2" t="s">
        <v>436</v>
      </c>
      <c r="BA10" s="12" t="s">
        <v>31</v>
      </c>
      <c r="BB10" s="12"/>
      <c r="BC10" s="13" t="str">
        <f t="shared" si="8"/>
        <v>Classic Maple 12x22 Bass Drum</v>
      </c>
      <c r="BD10" s="12" t="s">
        <v>31</v>
      </c>
      <c r="BE10" s="101"/>
      <c r="BG10" s="13" t="str">
        <f t="shared" si="11"/>
        <v>Legacy Maple 20x20 Bass Drum</v>
      </c>
      <c r="BH10" s="12" t="s">
        <v>494</v>
      </c>
      <c r="BK10" s="13" t="str">
        <f t="shared" si="9"/>
        <v>Legacy Mahogany 20x20 Bass Drum</v>
      </c>
      <c r="BL10" s="12" t="s">
        <v>494</v>
      </c>
      <c r="BO10" s="13" t="str">
        <f t="shared" si="12"/>
        <v>Legacy Exotic 20x20 Bass Drum</v>
      </c>
      <c r="BP10" s="12" t="s">
        <v>494</v>
      </c>
      <c r="BQ10" s="94"/>
      <c r="BR10" s="40" t="s">
        <v>690</v>
      </c>
      <c r="BS10" s="12" t="s">
        <v>31</v>
      </c>
      <c r="BT10" s="238"/>
      <c r="BU10" s="244" t="s">
        <v>494</v>
      </c>
      <c r="BV10" s="236" t="s">
        <v>738</v>
      </c>
      <c r="BW10" s="241" t="e">
        <f t="shared" si="1"/>
        <v>#N/A</v>
      </c>
      <c r="BX10" s="241">
        <f t="shared" si="1"/>
        <v>2567</v>
      </c>
      <c r="BY10" s="241">
        <f t="shared" si="1"/>
        <v>2567</v>
      </c>
      <c r="BZ10" s="241">
        <f t="shared" si="1"/>
        <v>2662</v>
      </c>
      <c r="CA10" s="241" t="e">
        <f t="shared" si="1"/>
        <v>#N/A</v>
      </c>
      <c r="CB10" s="242"/>
      <c r="CC10" s="243" t="s">
        <v>1017</v>
      </c>
      <c r="CD10" s="313">
        <v>135</v>
      </c>
      <c r="CE10" s="242"/>
      <c r="CF10" s="239" t="str">
        <f t="shared" si="2"/>
        <v>20x20 Bass Drum</v>
      </c>
      <c r="CG10" s="153" t="s">
        <v>914</v>
      </c>
      <c r="CH10" s="130" t="s">
        <v>747</v>
      </c>
      <c r="CI10" s="130" t="s">
        <v>748</v>
      </c>
      <c r="CJ10" s="130" t="s">
        <v>749</v>
      </c>
      <c r="CK10" s="153" t="e">
        <v>#N/A</v>
      </c>
      <c r="CL10" s="94"/>
      <c r="CM10" s="288" t="s">
        <v>19</v>
      </c>
      <c r="CN10" s="27" t="str">
        <f t="shared" si="3"/>
        <v>Bass.14x22 Bass Drum</v>
      </c>
      <c r="CO10" s="12" t="s">
        <v>32</v>
      </c>
      <c r="CP10" s="93" t="str">
        <f t="shared" si="4"/>
        <v>MLLCLLLILT</v>
      </c>
      <c r="CQ10" s="285" t="s">
        <v>831</v>
      </c>
      <c r="CR10" s="285" t="s">
        <v>829</v>
      </c>
      <c r="CS10" s="285" t="s">
        <v>731</v>
      </c>
      <c r="CT10" s="285" t="s">
        <v>830</v>
      </c>
      <c r="CU10" s="285" t="s">
        <v>832</v>
      </c>
      <c r="CV10" s="285"/>
      <c r="CW10" s="285"/>
      <c r="CX10" s="285"/>
      <c r="CY10" s="24">
        <f t="shared" si="5"/>
        <v>0</v>
      </c>
      <c r="CZ10" s="42" t="s">
        <v>855</v>
      </c>
      <c r="DA10" s="80"/>
      <c r="DB10" s="107"/>
      <c r="DC10" s="315" t="s">
        <v>1143</v>
      </c>
      <c r="DD10" s="90">
        <f>CD138</f>
        <v>40</v>
      </c>
      <c r="DE10" s="97" t="s">
        <v>1124</v>
      </c>
      <c r="DF10" s="285">
        <f t="shared" si="10"/>
        <v>0</v>
      </c>
      <c r="DH10" s="154" t="str">
        <f>IF(EO21=1, "P7184A CHROME Elite Casting", "P7184A Elite Bass Casting")</f>
        <v>P7184A Elite Bass Casting</v>
      </c>
      <c r="DI10" s="90" t="str">
        <f t="shared" si="6"/>
        <v>Disc</v>
      </c>
      <c r="DJ10" s="97" t="s">
        <v>388</v>
      </c>
      <c r="DK10" s="24">
        <v>0</v>
      </c>
      <c r="DL10" s="24"/>
      <c r="DM10" s="24">
        <f t="shared" si="7"/>
        <v>0</v>
      </c>
      <c r="DN10" s="27" t="s">
        <v>953</v>
      </c>
      <c r="DO10" s="45"/>
      <c r="DP10" s="45"/>
      <c r="DQ10" s="41"/>
      <c r="DR10" s="41"/>
      <c r="DS10" s="41"/>
      <c r="DT10" s="41" t="s">
        <v>413</v>
      </c>
      <c r="DU10" s="41" t="s">
        <v>413</v>
      </c>
      <c r="DV10" s="41" t="s">
        <v>412</v>
      </c>
      <c r="DW10" s="41"/>
      <c r="DY10" s="41"/>
      <c r="DZ10" s="41"/>
      <c r="EA10" s="41"/>
      <c r="EB10" s="41"/>
      <c r="EC10" s="41"/>
      <c r="ED10" s="41"/>
      <c r="EF10" s="45"/>
      <c r="EH10" s="114">
        <f t="shared" si="29"/>
        <v>0</v>
      </c>
      <c r="EI10" s="46"/>
      <c r="EJ10" s="32"/>
      <c r="EK10" s="19">
        <v>3</v>
      </c>
      <c r="EL10" s="178">
        <f t="shared" si="52"/>
        <v>0</v>
      </c>
      <c r="EM10" s="64" t="str">
        <f t="shared" si="30"/>
        <v/>
      </c>
      <c r="EN10" s="64" t="str">
        <f t="shared" si="31"/>
        <v/>
      </c>
      <c r="EO10" s="64" t="str">
        <f t="shared" si="53"/>
        <v>Double</v>
      </c>
      <c r="EP10" s="333"/>
      <c r="EQ10" s="333"/>
      <c r="ER10" s="19"/>
      <c r="EU10" s="24">
        <f t="shared" si="32"/>
        <v>0</v>
      </c>
      <c r="EV10" s="60">
        <v>10</v>
      </c>
      <c r="EW10" s="64">
        <f t="shared" si="33"/>
        <v>1</v>
      </c>
      <c r="EX10" s="19">
        <f t="shared" si="34"/>
        <v>0</v>
      </c>
      <c r="EY10" s="19">
        <f t="shared" si="35"/>
        <v>0</v>
      </c>
      <c r="EZ10" s="55" t="str">
        <f t="shared" si="36"/>
        <v/>
      </c>
      <c r="FA10" s="19">
        <f t="shared" si="37"/>
        <v>0</v>
      </c>
      <c r="FB10" s="55" t="str">
        <f t="shared" si="38"/>
        <v/>
      </c>
      <c r="FC10" s="56">
        <f t="shared" si="39"/>
        <v>0</v>
      </c>
      <c r="FD10" s="139" t="str">
        <f t="shared" si="40"/>
        <v xml:space="preserve"> </v>
      </c>
      <c r="FF10" s="66">
        <f t="shared" ca="1" si="41"/>
        <v>0</v>
      </c>
      <c r="FG10" s="66" t="str">
        <f t="shared" ca="1" si="42"/>
        <v/>
      </c>
      <c r="FH10" s="66" t="str">
        <f t="shared" ca="1" si="43"/>
        <v/>
      </c>
      <c r="FI10" s="97" t="str">
        <f t="shared" si="44"/>
        <v/>
      </c>
      <c r="FJ10" s="97" t="str">
        <f t="shared" si="45"/>
        <v/>
      </c>
      <c r="FK10" s="97" t="str">
        <f t="shared" si="46"/>
        <v/>
      </c>
      <c r="FL10" s="97" t="str">
        <f t="shared" si="47"/>
        <v/>
      </c>
      <c r="FM10" s="97" t="str">
        <f t="shared" si="48"/>
        <v/>
      </c>
      <c r="FN10" s="169" t="str">
        <f t="shared" si="49"/>
        <v/>
      </c>
      <c r="FO10" s="65" t="str">
        <f t="shared" si="50"/>
        <v/>
      </c>
      <c r="FP10" s="170" t="str">
        <f t="shared" si="51"/>
        <v/>
      </c>
      <c r="FQ10" s="65"/>
      <c r="FR10" s="12" t="s">
        <v>84</v>
      </c>
      <c r="FS10" s="65">
        <f t="shared" si="54"/>
        <v>0</v>
      </c>
      <c r="FT10" s="65"/>
      <c r="FU10" s="65"/>
      <c r="FV10" s="29"/>
      <c r="FW10" s="29"/>
      <c r="FX10" s="29"/>
      <c r="FY10" s="29"/>
      <c r="GD10" s="161" t="s">
        <v>862</v>
      </c>
      <c r="GE10" s="123" t="str">
        <f>IF($B$8="Snare",$EE$26, IF($B$8="Tom",$EE$24, IF($B$8="Floor",$EE$25, IF($B$8="Bass",$EE$23,""))))</f>
        <v/>
      </c>
      <c r="GF10" s="123" t="str">
        <f>IF($B$9="Snare",$EE$26, IF($B$9="Tom",$EE$24, IF($B$9="Floor",$EE$25, IF($B$9="Bass",$EE$23,""))))</f>
        <v/>
      </c>
      <c r="GG10" s="123" t="str">
        <f>IF($B$10="Snare",$EE$26, IF($B$10="Tom",$EE$24, IF($B$10="Floor",$EE$25, IF($B$10="Bass",$EE$23,""))))</f>
        <v/>
      </c>
      <c r="GH10" s="123" t="str">
        <f>IF($B$11="Snare",$EE$26, IF($B$11="Tom",$EE$24, IF($B$11="Floor",$EE$25, IF($B$11="Bass",$EE$23,""))))</f>
        <v/>
      </c>
      <c r="GI10" s="123" t="str">
        <f>IF($B$12="Snare",$EE$26, IF($B$12="Tom",$EE$24, IF($B$12="Floor",$EE$25, IF($B$12="Bass",$EE$23,""))))</f>
        <v/>
      </c>
      <c r="GJ10" s="123" t="str">
        <f>IF($B$13="Snare",$EE$26, IF($B$13="Tom",$EE$24, IF($B$13="Floor",$EE$25, IF($B$13="Bass",$EE$23,""))))</f>
        <v/>
      </c>
      <c r="GK10" s="123" t="str">
        <f>IF($B$14="Snare",$EE$26, IF($B$14="Tom",$EE$24, IF($B$14="Floor",$EE$25, IF($B$14="Bass",$EE$23,""))))</f>
        <v/>
      </c>
      <c r="GL10" s="86" t="str">
        <f>IF($B$15="Snare",$EE$26, IF($B$15="Tom",$EE$24, IF($B$15="Floor",$EE$25, IF($B$15="Bass",$EE$23,""))))</f>
        <v/>
      </c>
      <c r="GM10" s="86" t="str">
        <f>IF($B$16="Snare",$EE$26, IF($B$16="Tom",$EE$24, IF($B$16="Floor",$EE$25, IF($B$16="Bass",$EE$23,""))))</f>
        <v/>
      </c>
      <c r="GN10" s="86" t="str">
        <f>IF($B$17="Snare",$EE$26, IF($B$17="Tom",$EE$24, IF($B$17="Floor",$EE$25, IF($B$17="Bass",$EE$23,""))))</f>
        <v/>
      </c>
      <c r="GO10" s="86" t="str">
        <f>IF($B$18="Snare",$EE$26, IF($B$18="Tom",$EE$24, IF($B$18="Floor",$EE$25, IF($B$18="Bass",$EE$23,""))))</f>
        <v/>
      </c>
      <c r="GP10" s="86" t="str">
        <f>IF($B$19="Snare",$EE$26, IF($B$19="Tom",$EE$24, IF($B$19="Floor",$EE$25, IF($B$19="Bass",$EE$23,""))))</f>
        <v/>
      </c>
      <c r="GQ10" s="86" t="str">
        <f>IF($B$20="Snare",$EE$26, IF($B$20="Tom",$EE$24, IF($B$20="Floor",$EE$25, IF($B$20="Bass",$EE$23,""))))</f>
        <v/>
      </c>
    </row>
    <row r="11" spans="1:200" ht="15.75" x14ac:dyDescent="0.25">
      <c r="A11" s="197">
        <v>1</v>
      </c>
      <c r="B11" s="198"/>
      <c r="C11" s="198"/>
      <c r="D11" s="360" t="str">
        <f t="shared" si="14"/>
        <v/>
      </c>
      <c r="E11" s="198"/>
      <c r="F11" s="360" t="str">
        <f t="shared" si="15"/>
        <v/>
      </c>
      <c r="G11" s="199"/>
      <c r="H11" s="360" t="str">
        <f t="shared" si="16"/>
        <v/>
      </c>
      <c r="I11" s="360" t="str">
        <f t="shared" si="17"/>
        <v/>
      </c>
      <c r="J11" s="360" t="str">
        <f t="shared" si="18"/>
        <v/>
      </c>
      <c r="K11" s="97" t="str">
        <f t="shared" si="19"/>
        <v/>
      </c>
      <c r="L11" s="360">
        <f t="shared" si="20"/>
        <v>0</v>
      </c>
      <c r="M11" s="296"/>
      <c r="P11" s="311">
        <f t="shared" si="21"/>
        <v>0</v>
      </c>
      <c r="Q11" s="311">
        <f t="shared" si="55"/>
        <v>0</v>
      </c>
      <c r="R11" s="48"/>
      <c r="S11" s="303">
        <f t="shared" si="22"/>
        <v>0</v>
      </c>
      <c r="T11" s="303">
        <f t="shared" si="23"/>
        <v>0</v>
      </c>
      <c r="U11" s="303">
        <f t="shared" si="24"/>
        <v>0</v>
      </c>
      <c r="V11" s="303">
        <f t="shared" si="25"/>
        <v>0</v>
      </c>
      <c r="W11" s="303" t="e">
        <f t="shared" si="26"/>
        <v>#DIV/0!</v>
      </c>
      <c r="X11" s="66" t="e">
        <f t="shared" ca="1" si="27"/>
        <v>#N/A</v>
      </c>
      <c r="Y11" s="24" t="e">
        <f ca="1">IF($X$5=11,0,1)</f>
        <v>#N/A</v>
      </c>
      <c r="AA11" s="177" t="e">
        <f t="shared" si="28"/>
        <v>#N/A</v>
      </c>
      <c r="AB11" s="288" t="s">
        <v>832</v>
      </c>
      <c r="AC11" t="s">
        <v>946</v>
      </c>
      <c r="AD11" s="24">
        <f>COUNTIF($B$8:$B$20,AE11)</f>
        <v>0</v>
      </c>
      <c r="AE11" t="s">
        <v>20</v>
      </c>
      <c r="AF11" t="s">
        <v>113</v>
      </c>
      <c r="AG11" s="144" t="s">
        <v>986</v>
      </c>
      <c r="AH11" s="146" t="s">
        <v>815</v>
      </c>
      <c r="AI11" s="45" t="s">
        <v>410</v>
      </c>
      <c r="AJ11" s="147" t="s">
        <v>620</v>
      </c>
      <c r="AK11" s="148" t="s">
        <v>986</v>
      </c>
      <c r="AL11" s="28"/>
      <c r="AM11" s="157" t="s">
        <v>1003</v>
      </c>
      <c r="AN11" s="146">
        <f>CD38</f>
        <v>0</v>
      </c>
      <c r="AO11" s="146">
        <f>CD39</f>
        <v>0</v>
      </c>
      <c r="AP11" s="146">
        <f>CD40</f>
        <v>0</v>
      </c>
      <c r="AQ11" s="146">
        <f>CD41</f>
        <v>0</v>
      </c>
      <c r="AR11" s="144" t="s">
        <v>878</v>
      </c>
      <c r="AS11" s="28"/>
      <c r="AT11" s="1" t="s">
        <v>431</v>
      </c>
      <c r="AU11" s="4" t="s">
        <v>437</v>
      </c>
      <c r="AV11" s="2" t="s">
        <v>437</v>
      </c>
      <c r="AW11" s="9" t="s">
        <v>475</v>
      </c>
      <c r="AX11" s="2" t="s">
        <v>437</v>
      </c>
      <c r="BA11" s="12" t="s">
        <v>32</v>
      </c>
      <c r="BB11" s="12"/>
      <c r="BC11" s="13" t="str">
        <f t="shared" si="8"/>
        <v>Classic Maple 14x22 Bass Drum</v>
      </c>
      <c r="BD11" s="12" t="s">
        <v>32</v>
      </c>
      <c r="BE11" s="101"/>
      <c r="BG11" s="13" t="str">
        <f t="shared" ref="BG11:BG23" si="56">BH$1&amp;" "&amp;BH11</f>
        <v>Legacy Maple 12x22 Bass Drum</v>
      </c>
      <c r="BH11" s="12" t="s">
        <v>31</v>
      </c>
      <c r="BI11" s="98"/>
      <c r="BK11" s="13" t="str">
        <f t="shared" ref="BK11:BK23" si="57">BL$1&amp;" "&amp;BL11</f>
        <v>Legacy Mahogany 12x22 Bass Drum</v>
      </c>
      <c r="BL11" s="12" t="s">
        <v>31</v>
      </c>
      <c r="BM11" s="98"/>
      <c r="BN11" s="16"/>
      <c r="BO11" s="13" t="str">
        <f t="shared" ref="BO11:BO23" si="58">BP$1&amp;" "&amp;BP11</f>
        <v>Legacy Exotic 12x22 Bass Drum</v>
      </c>
      <c r="BP11" s="12" t="s">
        <v>31</v>
      </c>
      <c r="BQ11" s="94"/>
      <c r="BR11" s="40" t="s">
        <v>691</v>
      </c>
      <c r="BS11" s="12" t="s">
        <v>32</v>
      </c>
      <c r="BT11" s="238"/>
      <c r="BU11" s="239" t="s">
        <v>31</v>
      </c>
      <c r="BV11" s="240" t="s">
        <v>690</v>
      </c>
      <c r="BW11" s="241">
        <f t="shared" si="1"/>
        <v>1728</v>
      </c>
      <c r="BX11" s="241">
        <f t="shared" si="1"/>
        <v>2577</v>
      </c>
      <c r="BY11" s="241">
        <f t="shared" si="1"/>
        <v>2577</v>
      </c>
      <c r="BZ11" s="241">
        <f t="shared" si="1"/>
        <v>2672</v>
      </c>
      <c r="CA11" s="241">
        <f t="shared" si="1"/>
        <v>1616</v>
      </c>
      <c r="CB11" s="242"/>
      <c r="CC11" s="243" t="s">
        <v>1010</v>
      </c>
      <c r="CD11" s="313">
        <v>85</v>
      </c>
      <c r="CE11" s="242"/>
      <c r="CF11" s="239" t="str">
        <f t="shared" si="2"/>
        <v>12x22 Bass Drum</v>
      </c>
      <c r="CG11" s="130" t="s">
        <v>123</v>
      </c>
      <c r="CH11" s="130" t="s">
        <v>185</v>
      </c>
      <c r="CI11" s="130" t="s">
        <v>243</v>
      </c>
      <c r="CJ11" s="130" t="s">
        <v>301</v>
      </c>
      <c r="CK11" s="130" t="s">
        <v>766</v>
      </c>
      <c r="CL11" s="94"/>
      <c r="CM11" s="288" t="s">
        <v>19</v>
      </c>
      <c r="CN11" s="27" t="str">
        <f t="shared" si="3"/>
        <v>Bass.14x24 Bass Drum</v>
      </c>
      <c r="CO11" s="12" t="s">
        <v>37</v>
      </c>
      <c r="CP11" s="93" t="str">
        <f t="shared" si="4"/>
        <v>MLLCLLLILT</v>
      </c>
      <c r="CQ11" s="285" t="s">
        <v>831</v>
      </c>
      <c r="CR11" s="285" t="s">
        <v>829</v>
      </c>
      <c r="CS11" s="285" t="s">
        <v>731</v>
      </c>
      <c r="CT11" s="285" t="s">
        <v>830</v>
      </c>
      <c r="CU11" s="285" t="s">
        <v>832</v>
      </c>
      <c r="CV11" s="285"/>
      <c r="CW11" s="285"/>
      <c r="CX11" s="285"/>
      <c r="CY11" s="24">
        <f t="shared" si="5"/>
        <v>0</v>
      </c>
      <c r="CZ11" s="42" t="s">
        <v>856</v>
      </c>
      <c r="DA11" s="80"/>
      <c r="DB11" s="107"/>
      <c r="DC11" t="s">
        <v>843</v>
      </c>
      <c r="DD11" s="90">
        <f>CD125</f>
        <v>0</v>
      </c>
      <c r="DE11" s="97" t="s">
        <v>840</v>
      </c>
      <c r="DF11" s="285">
        <f t="shared" si="10"/>
        <v>0</v>
      </c>
      <c r="DH11" s="154" t="str">
        <f>IF(EO21=1, "LR2991MT CHROME Elite Single", "LR2991MT Elite Single Tom Holder")</f>
        <v>LR2991MT Elite Single Tom Holder</v>
      </c>
      <c r="DI11" s="90" t="str">
        <f t="shared" si="6"/>
        <v>Disc</v>
      </c>
      <c r="DJ11" s="97" t="s">
        <v>389</v>
      </c>
      <c r="DK11" s="24">
        <v>10</v>
      </c>
      <c r="DL11" s="24"/>
      <c r="DM11" s="24">
        <f t="shared" si="7"/>
        <v>0</v>
      </c>
      <c r="DN11" s="27" t="s">
        <v>953</v>
      </c>
      <c r="DO11" s="45"/>
      <c r="DP11" s="45"/>
      <c r="DQ11" s="41"/>
      <c r="DR11" s="41"/>
      <c r="DS11" s="41"/>
      <c r="DT11" s="41" t="s">
        <v>414</v>
      </c>
      <c r="DU11" s="41" t="s">
        <v>414</v>
      </c>
      <c r="DV11" s="41" t="s">
        <v>413</v>
      </c>
      <c r="DW11" s="41"/>
      <c r="DY11" s="41"/>
      <c r="DZ11" s="41"/>
      <c r="EA11" s="41"/>
      <c r="EB11" s="41"/>
      <c r="EC11" s="41"/>
      <c r="ED11" s="41"/>
      <c r="EF11" s="45"/>
      <c r="EH11" s="114">
        <f t="shared" si="29"/>
        <v>0</v>
      </c>
      <c r="EI11" s="46"/>
      <c r="EJ11" s="32"/>
      <c r="EK11" s="35">
        <v>4</v>
      </c>
      <c r="EL11" s="178">
        <f t="shared" si="52"/>
        <v>0</v>
      </c>
      <c r="EM11" s="64" t="str">
        <f t="shared" si="30"/>
        <v/>
      </c>
      <c r="EN11" s="64" t="str">
        <f t="shared" si="31"/>
        <v/>
      </c>
      <c r="EO11" s="64" t="str">
        <f t="shared" si="53"/>
        <v>Double</v>
      </c>
      <c r="EP11" s="19"/>
      <c r="EQ11" s="140"/>
      <c r="ER11" s="133"/>
      <c r="EU11" s="24">
        <f t="shared" si="32"/>
        <v>0</v>
      </c>
      <c r="EV11" s="60">
        <v>11</v>
      </c>
      <c r="EW11" s="64">
        <f t="shared" si="33"/>
        <v>1</v>
      </c>
      <c r="EX11" s="19">
        <f t="shared" si="34"/>
        <v>0</v>
      </c>
      <c r="EY11" s="19">
        <f t="shared" si="35"/>
        <v>0</v>
      </c>
      <c r="EZ11" s="55" t="str">
        <f t="shared" si="36"/>
        <v/>
      </c>
      <c r="FA11" s="19">
        <f t="shared" si="37"/>
        <v>0</v>
      </c>
      <c r="FB11" s="55" t="str">
        <f t="shared" si="38"/>
        <v/>
      </c>
      <c r="FC11" s="56">
        <f t="shared" si="39"/>
        <v>0</v>
      </c>
      <c r="FD11" s="139" t="str">
        <f t="shared" si="40"/>
        <v xml:space="preserve"> </v>
      </c>
      <c r="FF11" s="66">
        <f t="shared" ca="1" si="41"/>
        <v>0</v>
      </c>
      <c r="FG11" s="66" t="str">
        <f t="shared" ca="1" si="42"/>
        <v/>
      </c>
      <c r="FH11" s="66" t="str">
        <f t="shared" ca="1" si="43"/>
        <v/>
      </c>
      <c r="FI11" s="97" t="str">
        <f t="shared" si="44"/>
        <v/>
      </c>
      <c r="FJ11" s="97" t="str">
        <f t="shared" si="45"/>
        <v/>
      </c>
      <c r="FK11" s="97" t="str">
        <f t="shared" si="46"/>
        <v/>
      </c>
      <c r="FL11" s="97" t="str">
        <f t="shared" si="47"/>
        <v/>
      </c>
      <c r="FM11" s="97" t="str">
        <f t="shared" si="48"/>
        <v/>
      </c>
      <c r="FN11" s="169" t="str">
        <f t="shared" si="49"/>
        <v/>
      </c>
      <c r="FO11" s="65" t="str">
        <f t="shared" si="50"/>
        <v/>
      </c>
      <c r="FP11" s="170" t="str">
        <f t="shared" si="51"/>
        <v/>
      </c>
      <c r="FQ11" s="65"/>
      <c r="FR11" s="12" t="s">
        <v>85</v>
      </c>
      <c r="FS11" s="65">
        <f t="shared" si="54"/>
        <v>0</v>
      </c>
      <c r="FT11" s="65"/>
      <c r="FU11" s="65"/>
      <c r="FV11" s="29"/>
      <c r="FW11" s="29"/>
      <c r="FX11" s="29"/>
      <c r="FY11" s="29"/>
      <c r="GD11" s="82" t="s">
        <v>1</v>
      </c>
      <c r="GE11" s="124" t="str">
        <f>IF($C$8="","",$C$3)</f>
        <v/>
      </c>
      <c r="GF11" s="124" t="str">
        <f>IF($C$9="","",$C$3)</f>
        <v/>
      </c>
      <c r="GG11" s="124" t="str">
        <f>IF($C$10="","",$C$3)</f>
        <v/>
      </c>
      <c r="GH11" s="124" t="str">
        <f>IF($C$11="","",$C$3)</f>
        <v/>
      </c>
      <c r="GI11" s="124" t="str">
        <f>IF($C$12="","",$C$3)</f>
        <v/>
      </c>
      <c r="GJ11" s="124" t="str">
        <f>IF($C$13="","",$C$3)</f>
        <v/>
      </c>
      <c r="GK11" s="124" t="str">
        <f>IF($C$14="","",$C$3)</f>
        <v/>
      </c>
      <c r="GL11" s="88" t="str">
        <f>IF($C$15="","",$C$3)</f>
        <v/>
      </c>
      <c r="GM11" s="88" t="str">
        <f>IF($C$16="","",$C$3)</f>
        <v/>
      </c>
      <c r="GN11" s="88" t="str">
        <f>IF($C$17="","",$C$3)</f>
        <v/>
      </c>
      <c r="GO11" s="88" t="str">
        <f>IF($C$18="","",$C$3)</f>
        <v/>
      </c>
      <c r="GP11" s="88" t="str">
        <f>IF($C$19="","",$C$3)</f>
        <v/>
      </c>
      <c r="GQ11" s="88" t="str">
        <f>IF($C$20="","",$C$3)</f>
        <v/>
      </c>
    </row>
    <row r="12" spans="1:200" ht="15.75" x14ac:dyDescent="0.25">
      <c r="A12" s="197">
        <v>1</v>
      </c>
      <c r="B12" s="198"/>
      <c r="C12" s="198"/>
      <c r="D12" s="360" t="str">
        <f t="shared" si="14"/>
        <v/>
      </c>
      <c r="E12" s="198"/>
      <c r="F12" s="360" t="str">
        <f t="shared" si="15"/>
        <v/>
      </c>
      <c r="G12" s="199"/>
      <c r="H12" s="360" t="str">
        <f t="shared" si="16"/>
        <v/>
      </c>
      <c r="I12" s="360" t="str">
        <f t="shared" si="17"/>
        <v/>
      </c>
      <c r="J12" s="360" t="str">
        <f t="shared" si="18"/>
        <v/>
      </c>
      <c r="K12" s="97" t="str">
        <f t="shared" si="19"/>
        <v/>
      </c>
      <c r="L12" s="360">
        <f t="shared" si="20"/>
        <v>0</v>
      </c>
      <c r="M12" s="296"/>
      <c r="P12" s="311">
        <f t="shared" si="21"/>
        <v>0</v>
      </c>
      <c r="Q12" s="311">
        <f t="shared" si="55"/>
        <v>0</v>
      </c>
      <c r="R12" s="48"/>
      <c r="S12" s="303">
        <f t="shared" si="22"/>
        <v>0</v>
      </c>
      <c r="T12" s="303">
        <f t="shared" si="23"/>
        <v>0</v>
      </c>
      <c r="U12" s="303">
        <f t="shared" si="24"/>
        <v>0</v>
      </c>
      <c r="V12" s="303">
        <f t="shared" si="25"/>
        <v>0</v>
      </c>
      <c r="W12" s="303" t="e">
        <f t="shared" si="26"/>
        <v>#DIV/0!</v>
      </c>
      <c r="X12" s="66" t="e">
        <f t="shared" ca="1" si="27"/>
        <v>#N/A</v>
      </c>
      <c r="Y12" s="24" t="e">
        <f ca="1">IF($X$5=12,0,1)</f>
        <v>#N/A</v>
      </c>
      <c r="AA12" s="177" t="e">
        <f t="shared" si="28"/>
        <v>#N/A</v>
      </c>
      <c r="AB12" s="288" t="s">
        <v>1161</v>
      </c>
      <c r="AC12" t="s">
        <v>947</v>
      </c>
      <c r="AD12" s="24">
        <f>COUNTIF($B$8:$B$20,AE12)</f>
        <v>0</v>
      </c>
      <c r="AE12" t="s">
        <v>21</v>
      </c>
      <c r="AF12" t="s">
        <v>114</v>
      </c>
      <c r="AG12" s="144" t="s">
        <v>435</v>
      </c>
      <c r="AH12" s="146" t="s">
        <v>815</v>
      </c>
      <c r="AI12" s="45" t="s">
        <v>410</v>
      </c>
      <c r="AJ12" s="147" t="s">
        <v>620</v>
      </c>
      <c r="AK12" s="148" t="s">
        <v>435</v>
      </c>
      <c r="AL12" s="28"/>
      <c r="AM12" s="227" t="s">
        <v>826</v>
      </c>
      <c r="AN12" s="152">
        <f>CD38</f>
        <v>0</v>
      </c>
      <c r="AO12" s="152">
        <f>CD39</f>
        <v>0</v>
      </c>
      <c r="AP12" s="152">
        <f>CD40</f>
        <v>0</v>
      </c>
      <c r="AQ12" s="152">
        <f>CD41</f>
        <v>0</v>
      </c>
      <c r="AR12" s="144" t="s">
        <v>877</v>
      </c>
      <c r="AS12" s="28"/>
      <c r="AT12" s="1" t="s">
        <v>984</v>
      </c>
      <c r="AU12" s="4" t="s">
        <v>12</v>
      </c>
      <c r="AV12" s="2" t="s">
        <v>12</v>
      </c>
      <c r="AW12" s="9" t="s">
        <v>463</v>
      </c>
      <c r="AX12" s="2" t="s">
        <v>12</v>
      </c>
      <c r="BA12" s="12" t="s">
        <v>33</v>
      </c>
      <c r="BB12" s="12"/>
      <c r="BC12" s="13" t="str">
        <f t="shared" si="8"/>
        <v>Classic Maple 16x22 Bass Drum</v>
      </c>
      <c r="BD12" s="12" t="s">
        <v>33</v>
      </c>
      <c r="BE12" s="101"/>
      <c r="BG12" s="13" t="str">
        <f t="shared" si="56"/>
        <v>Legacy Maple 14x22 Bass Drum</v>
      </c>
      <c r="BH12" s="12" t="s">
        <v>32</v>
      </c>
      <c r="BI12" s="98"/>
      <c r="BK12" s="13" t="str">
        <f t="shared" si="57"/>
        <v>Legacy Mahogany 14x22 Bass Drum</v>
      </c>
      <c r="BL12" s="12" t="s">
        <v>32</v>
      </c>
      <c r="BM12" s="98"/>
      <c r="BN12" s="16"/>
      <c r="BO12" s="13" t="str">
        <f t="shared" si="58"/>
        <v>Legacy Exotic 14x22 Bass Drum</v>
      </c>
      <c r="BP12" s="12" t="s">
        <v>32</v>
      </c>
      <c r="BQ12" s="94"/>
      <c r="BR12" s="40" t="s">
        <v>692</v>
      </c>
      <c r="BS12" s="12" t="s">
        <v>33</v>
      </c>
      <c r="BT12" s="238"/>
      <c r="BU12" s="239" t="s">
        <v>32</v>
      </c>
      <c r="BV12" s="240" t="s">
        <v>691</v>
      </c>
      <c r="BW12" s="241">
        <f t="shared" si="1"/>
        <v>1728</v>
      </c>
      <c r="BX12" s="241">
        <f t="shared" si="1"/>
        <v>2577</v>
      </c>
      <c r="BY12" s="241">
        <f t="shared" si="1"/>
        <v>2577</v>
      </c>
      <c r="BZ12" s="241">
        <f t="shared" si="1"/>
        <v>2672</v>
      </c>
      <c r="CA12" s="241">
        <f t="shared" si="1"/>
        <v>1616</v>
      </c>
      <c r="CB12" s="242"/>
      <c r="CC12" s="243" t="s">
        <v>1011</v>
      </c>
      <c r="CD12" s="313">
        <v>110</v>
      </c>
      <c r="CE12" s="242"/>
      <c r="CF12" s="239" t="str">
        <f t="shared" ref="CF12:CF23" si="59">BU12</f>
        <v>14x22 Bass Drum</v>
      </c>
      <c r="CG12" s="130" t="s">
        <v>124</v>
      </c>
      <c r="CH12" s="130" t="s">
        <v>186</v>
      </c>
      <c r="CI12" s="130" t="s">
        <v>244</v>
      </c>
      <c r="CJ12" s="130" t="s">
        <v>302</v>
      </c>
      <c r="CK12" s="130" t="s">
        <v>767</v>
      </c>
      <c r="CL12" s="94"/>
      <c r="CM12" s="288" t="s">
        <v>19</v>
      </c>
      <c r="CN12" s="27" t="str">
        <f t="shared" si="3"/>
        <v>Bass.14x26 Bass Drum</v>
      </c>
      <c r="CO12" s="12" t="s">
        <v>42</v>
      </c>
      <c r="CP12" s="93" t="str">
        <f t="shared" si="4"/>
        <v>MLLCLL</v>
      </c>
      <c r="CQ12" s="285" t="s">
        <v>831</v>
      </c>
      <c r="CR12" s="285" t="s">
        <v>829</v>
      </c>
      <c r="CS12" s="285" t="s">
        <v>731</v>
      </c>
      <c r="CT12" s="285"/>
      <c r="CU12" s="285"/>
      <c r="CV12" s="285"/>
      <c r="CW12" s="285"/>
      <c r="CX12" s="285"/>
      <c r="CY12" s="24">
        <f t="shared" si="5"/>
        <v>0</v>
      </c>
      <c r="CZ12" s="42" t="s">
        <v>856</v>
      </c>
      <c r="DA12" s="80"/>
      <c r="DB12" s="107"/>
      <c r="DC12" s="8" t="s">
        <v>844</v>
      </c>
      <c r="DD12" s="90">
        <f>CD126</f>
        <v>0</v>
      </c>
      <c r="DE12" s="97" t="s">
        <v>842</v>
      </c>
      <c r="DF12" s="285">
        <f t="shared" si="10"/>
        <v>0</v>
      </c>
      <c r="DH12" s="154" t="str">
        <f>IF(EO21=1, "LR2992MT CHROME Classic Double",  "LR2992MT Classic Double Tom Holder")</f>
        <v>LR2992MT Classic Double Tom Holder</v>
      </c>
      <c r="DI12" s="90" t="str">
        <f t="shared" si="6"/>
        <v>Disc</v>
      </c>
      <c r="DJ12" s="97" t="s">
        <v>390</v>
      </c>
      <c r="DK12" s="24">
        <v>10</v>
      </c>
      <c r="DL12" s="24"/>
      <c r="DM12" s="24">
        <f t="shared" si="7"/>
        <v>0</v>
      </c>
      <c r="DN12" s="27"/>
      <c r="DO12" s="45"/>
      <c r="DP12" s="45"/>
      <c r="DQ12" s="41"/>
      <c r="DR12" s="41"/>
      <c r="DS12" s="41"/>
      <c r="DT12" s="41" t="s">
        <v>415</v>
      </c>
      <c r="DU12" s="41" t="s">
        <v>415</v>
      </c>
      <c r="DV12" s="41" t="s">
        <v>622</v>
      </c>
      <c r="DW12" s="41"/>
      <c r="DY12" s="41"/>
      <c r="DZ12" s="41"/>
      <c r="EA12" s="41"/>
      <c r="EB12" s="41"/>
      <c r="EC12" s="41"/>
      <c r="ED12" s="41"/>
      <c r="EF12" s="45"/>
      <c r="EH12" s="114">
        <f t="shared" si="29"/>
        <v>0</v>
      </c>
      <c r="EI12" s="46"/>
      <c r="EJ12" s="32"/>
      <c r="EK12" s="35">
        <v>5</v>
      </c>
      <c r="EL12" s="178">
        <f t="shared" si="52"/>
        <v>0</v>
      </c>
      <c r="EM12" s="64" t="str">
        <f t="shared" si="30"/>
        <v/>
      </c>
      <c r="EN12" s="64" t="str">
        <f t="shared" si="31"/>
        <v/>
      </c>
      <c r="EO12" s="64" t="str">
        <f t="shared" si="53"/>
        <v>Double</v>
      </c>
      <c r="EP12" s="19"/>
      <c r="EQ12" s="140"/>
      <c r="ER12" s="133"/>
      <c r="ET12" s="12"/>
      <c r="EU12" s="24">
        <f t="shared" si="32"/>
        <v>0</v>
      </c>
      <c r="EV12" s="60">
        <v>12</v>
      </c>
      <c r="EW12" s="64">
        <f t="shared" si="33"/>
        <v>1</v>
      </c>
      <c r="EX12" s="19">
        <f t="shared" si="34"/>
        <v>0</v>
      </c>
      <c r="EY12" s="19">
        <f t="shared" si="35"/>
        <v>0</v>
      </c>
      <c r="EZ12" s="55" t="str">
        <f t="shared" si="36"/>
        <v/>
      </c>
      <c r="FA12" s="19">
        <f t="shared" si="37"/>
        <v>0</v>
      </c>
      <c r="FB12" s="55" t="str">
        <f t="shared" si="38"/>
        <v/>
      </c>
      <c r="FC12" s="56">
        <f t="shared" si="39"/>
        <v>0</v>
      </c>
      <c r="FD12" s="139" t="str">
        <f t="shared" si="40"/>
        <v xml:space="preserve"> </v>
      </c>
      <c r="FF12" s="66">
        <f t="shared" ca="1" si="41"/>
        <v>0</v>
      </c>
      <c r="FG12" s="66" t="str">
        <f t="shared" ca="1" si="42"/>
        <v/>
      </c>
      <c r="FH12" s="66" t="str">
        <f t="shared" ca="1" si="43"/>
        <v/>
      </c>
      <c r="FI12" s="97" t="str">
        <f t="shared" si="44"/>
        <v/>
      </c>
      <c r="FJ12" s="97" t="str">
        <f t="shared" si="45"/>
        <v/>
      </c>
      <c r="FK12" s="97" t="str">
        <f t="shared" si="46"/>
        <v/>
      </c>
      <c r="FL12" s="97" t="str">
        <f t="shared" si="47"/>
        <v/>
      </c>
      <c r="FM12" s="97" t="str">
        <f t="shared" si="48"/>
        <v/>
      </c>
      <c r="FN12" s="169" t="str">
        <f t="shared" si="49"/>
        <v/>
      </c>
      <c r="FO12" s="65" t="str">
        <f t="shared" si="50"/>
        <v/>
      </c>
      <c r="FP12" s="170" t="str">
        <f t="shared" si="51"/>
        <v/>
      </c>
      <c r="FQ12" s="65"/>
      <c r="FR12" s="12" t="s">
        <v>744</v>
      </c>
      <c r="FS12" s="65">
        <f t="shared" si="54"/>
        <v>0</v>
      </c>
      <c r="FT12" s="65"/>
      <c r="FU12" s="65"/>
      <c r="FV12" s="29"/>
      <c r="FW12" s="29"/>
      <c r="FX12" s="29"/>
      <c r="FY12" s="29"/>
      <c r="GD12" s="82" t="s">
        <v>548</v>
      </c>
      <c r="GE12" s="123" t="str">
        <f>IF(AND($B8="Bass",$G$22 &lt;&gt;""), $G$22, IF($B8="Bass", $E$22,""))</f>
        <v/>
      </c>
      <c r="GF12" s="123" t="str">
        <f>IF(AND($B9="Bass",$G$22 &lt;&gt;""), $G$22, IF($B9="Bass", $E$22,""))</f>
        <v/>
      </c>
      <c r="GG12" s="123" t="str">
        <f>IF(AND($B10="Bass",$G$22 &lt;&gt;""), $G$22, IF($B10="Bass", $E$22,""))</f>
        <v/>
      </c>
      <c r="GH12" s="123" t="str">
        <f>IF(AND($B11="Bass",$G$22 &lt;&gt;""), $G$22, IF($B11="Bass", $E$22,""))</f>
        <v/>
      </c>
      <c r="GI12" s="123" t="str">
        <f>IF(AND($B12="Bass",$G$22 &lt;&gt;""), $G$22, IF($B12="Bass", $E$22,""))</f>
        <v/>
      </c>
      <c r="GJ12" s="123" t="str">
        <f>IF(AND($B13="Bass",$G$22 &lt;&gt;""), $G$22, IF($B13="Bass", $E$22,""))</f>
        <v/>
      </c>
      <c r="GK12" s="123" t="str">
        <f>IF(AND($B14="Bass",$G$22 &lt;&gt;""), $G$22, IF($B14="Bass", $E$22,""))</f>
        <v/>
      </c>
      <c r="GL12" s="86" t="str">
        <f>IF(AND($B15="Bass",$G$22 &lt;&gt;""), $G$22, IF($B15="Bass", $E$22,""))</f>
        <v/>
      </c>
      <c r="GM12" s="86" t="str">
        <f>IF(AND($B16="Bass",$G$22 &lt;&gt;""), $G$22, IF($B16="Bass", $E$22,""))</f>
        <v/>
      </c>
      <c r="GN12" s="86" t="str">
        <f>IF(AND($B17="Bass",$G$22 &lt;&gt;""), $G$22, IF($B17="Bass", $E$22,""))</f>
        <v/>
      </c>
      <c r="GO12" s="86" t="str">
        <f>IF(AND($B18="Bass",$G$22 &lt;&gt;""), $G$22, IF($B18="Bass", $E$22,""))</f>
        <v/>
      </c>
      <c r="GP12" s="86" t="str">
        <f>IF(AND($B19="Bass",$G$22 &lt;&gt;""), $G$22, IF($B19="Bass", $E$22,""))</f>
        <v/>
      </c>
      <c r="GQ12" s="86" t="str">
        <f>IF(AND($B20="Bass",$G$22 &lt;&gt;""), $G$22, IF($B20="Bass", $E$22,""))</f>
        <v/>
      </c>
      <c r="GR12" s="24"/>
    </row>
    <row r="13" spans="1:200" ht="15.75" x14ac:dyDescent="0.25">
      <c r="A13" s="197">
        <v>1</v>
      </c>
      <c r="B13" s="198"/>
      <c r="C13" s="198"/>
      <c r="D13" s="360" t="str">
        <f t="shared" si="14"/>
        <v/>
      </c>
      <c r="E13" s="198"/>
      <c r="F13" s="360" t="str">
        <f t="shared" si="15"/>
        <v/>
      </c>
      <c r="G13" s="199"/>
      <c r="H13" s="360" t="str">
        <f t="shared" si="16"/>
        <v/>
      </c>
      <c r="I13" s="360" t="str">
        <f t="shared" si="17"/>
        <v/>
      </c>
      <c r="J13" s="360" t="str">
        <f t="shared" si="18"/>
        <v/>
      </c>
      <c r="K13" s="97" t="str">
        <f t="shared" si="19"/>
        <v/>
      </c>
      <c r="L13" s="360">
        <f t="shared" si="20"/>
        <v>0</v>
      </c>
      <c r="M13" s="296"/>
      <c r="P13" s="311">
        <f t="shared" si="21"/>
        <v>0</v>
      </c>
      <c r="Q13" s="311">
        <f t="shared" si="55"/>
        <v>0</v>
      </c>
      <c r="R13" s="48"/>
      <c r="S13" s="303">
        <f t="shared" si="22"/>
        <v>0</v>
      </c>
      <c r="T13" s="303">
        <f t="shared" si="23"/>
        <v>0</v>
      </c>
      <c r="U13" s="303">
        <f t="shared" si="24"/>
        <v>0</v>
      </c>
      <c r="V13" s="303">
        <f t="shared" si="25"/>
        <v>0</v>
      </c>
      <c r="W13" s="303" t="e">
        <f t="shared" si="26"/>
        <v>#DIV/0!</v>
      </c>
      <c r="X13" s="66" t="e">
        <f t="shared" ca="1" si="27"/>
        <v>#N/A</v>
      </c>
      <c r="Y13" s="24" t="e">
        <f ca="1">IF($X$5=13,0,1)</f>
        <v>#N/A</v>
      </c>
      <c r="AA13" s="177" t="e">
        <f t="shared" si="28"/>
        <v>#N/A</v>
      </c>
      <c r="AB13" s="288" t="s">
        <v>392</v>
      </c>
      <c r="AC13" t="s">
        <v>22</v>
      </c>
      <c r="AD13" s="24">
        <f>COUNTIF($B$8:$B$20,AE13)</f>
        <v>0</v>
      </c>
      <c r="AE13" t="s">
        <v>22</v>
      </c>
      <c r="AF13" t="s">
        <v>115</v>
      </c>
      <c r="AG13" s="144" t="s">
        <v>436</v>
      </c>
      <c r="AH13" s="146" t="s">
        <v>815</v>
      </c>
      <c r="AI13" s="45" t="s">
        <v>410</v>
      </c>
      <c r="AJ13" s="147" t="s">
        <v>620</v>
      </c>
      <c r="AK13" s="148" t="s">
        <v>436</v>
      </c>
      <c r="AL13" s="28"/>
      <c r="AM13" s="157" t="s">
        <v>827</v>
      </c>
      <c r="AN13" s="146">
        <f>CD43</f>
        <v>0</v>
      </c>
      <c r="AO13" s="146">
        <f>CD44</f>
        <v>0</v>
      </c>
      <c r="AP13" s="146">
        <f>CD45</f>
        <v>0</v>
      </c>
      <c r="AQ13" s="146">
        <f>CD46</f>
        <v>0</v>
      </c>
      <c r="AR13" s="144" t="s">
        <v>877</v>
      </c>
      <c r="AS13" s="28"/>
      <c r="AT13" s="1" t="s">
        <v>985</v>
      </c>
      <c r="AU13" s="205" t="s">
        <v>439</v>
      </c>
      <c r="AV13" s="206" t="s">
        <v>439</v>
      </c>
      <c r="AW13" s="9" t="s">
        <v>464</v>
      </c>
      <c r="AX13" s="2" t="s">
        <v>813</v>
      </c>
      <c r="BA13" s="12" t="s">
        <v>34</v>
      </c>
      <c r="BB13" s="12"/>
      <c r="BC13" s="13" t="str">
        <f t="shared" si="8"/>
        <v>Classic Maple 18x22 Bass Drum</v>
      </c>
      <c r="BD13" s="12" t="s">
        <v>34</v>
      </c>
      <c r="BE13" s="101"/>
      <c r="BG13" s="13" t="str">
        <f t="shared" si="56"/>
        <v>Legacy Maple 16x22 Bass Drum</v>
      </c>
      <c r="BH13" s="12" t="s">
        <v>33</v>
      </c>
      <c r="BI13" s="98"/>
      <c r="BK13" s="13" t="str">
        <f t="shared" si="57"/>
        <v>Legacy Mahogany 16x22 Bass Drum</v>
      </c>
      <c r="BL13" s="12" t="s">
        <v>33</v>
      </c>
      <c r="BM13" s="98"/>
      <c r="BN13" s="16"/>
      <c r="BO13" s="13" t="str">
        <f t="shared" si="58"/>
        <v>Legacy Exotic 16x22 Bass Drum</v>
      </c>
      <c r="BP13" s="12" t="s">
        <v>33</v>
      </c>
      <c r="BQ13" s="94"/>
      <c r="BR13" s="40" t="s">
        <v>693</v>
      </c>
      <c r="BS13" s="12" t="s">
        <v>34</v>
      </c>
      <c r="BT13" s="238"/>
      <c r="BU13" s="239" t="s">
        <v>33</v>
      </c>
      <c r="BV13" s="240" t="s">
        <v>692</v>
      </c>
      <c r="BW13" s="241">
        <f t="shared" ref="BW13:CA23" si="60">INDEX($BV:$CA,MATCH(CONCATENATE("D",".",BW$2,".",$BV13,".",$BV$1),$BV:$BV,0),MATCH("Result",$BV$85:$CA$85,0))</f>
        <v>1728</v>
      </c>
      <c r="BX13" s="241">
        <f t="shared" si="60"/>
        <v>2577</v>
      </c>
      <c r="BY13" s="241">
        <f t="shared" si="60"/>
        <v>2577</v>
      </c>
      <c r="BZ13" s="241">
        <f t="shared" si="60"/>
        <v>2672</v>
      </c>
      <c r="CA13" s="241">
        <f t="shared" si="60"/>
        <v>1616</v>
      </c>
      <c r="CB13" s="242"/>
      <c r="CC13" s="243" t="s">
        <v>1012</v>
      </c>
      <c r="CD13" s="313">
        <v>135</v>
      </c>
      <c r="CE13" s="242"/>
      <c r="CF13" s="239" t="str">
        <f t="shared" si="59"/>
        <v>16x22 Bass Drum</v>
      </c>
      <c r="CG13" s="130" t="s">
        <v>125</v>
      </c>
      <c r="CH13" s="130" t="s">
        <v>187</v>
      </c>
      <c r="CI13" s="130" t="s">
        <v>245</v>
      </c>
      <c r="CJ13" s="130" t="s">
        <v>303</v>
      </c>
      <c r="CK13" s="130" t="s">
        <v>768</v>
      </c>
      <c r="CL13" s="94"/>
      <c r="CM13" s="288" t="s">
        <v>19</v>
      </c>
      <c r="CN13" s="27" t="str">
        <f t="shared" si="3"/>
        <v>Bass.16x18 Bass Drum</v>
      </c>
      <c r="CO13" s="12" t="s">
        <v>26</v>
      </c>
      <c r="CP13" s="93" t="str">
        <f t="shared" si="4"/>
        <v>MLLCLL</v>
      </c>
      <c r="CQ13" s="285" t="s">
        <v>831</v>
      </c>
      <c r="CR13" s="285" t="s">
        <v>829</v>
      </c>
      <c r="CS13" s="285" t="s">
        <v>731</v>
      </c>
      <c r="CT13" s="64"/>
      <c r="CU13" s="64"/>
      <c r="CV13" s="64"/>
      <c r="CW13" s="64"/>
      <c r="CX13" s="64"/>
      <c r="CY13" s="24">
        <f t="shared" si="5"/>
        <v>0</v>
      </c>
      <c r="CZ13" s="42" t="s">
        <v>856</v>
      </c>
      <c r="DA13" s="80"/>
      <c r="DB13" s="107"/>
      <c r="DC13" s="8" t="s">
        <v>366</v>
      </c>
      <c r="DD13" s="90">
        <f>CD127</f>
        <v>0</v>
      </c>
      <c r="DE13" s="97"/>
      <c r="DF13" s="285">
        <f t="shared" si="10"/>
        <v>0</v>
      </c>
      <c r="DH13" s="155" t="str">
        <f>IF(EO17=1, "PM0062 CHROME Atlas Bracket",  "PM0062 Atlas Bass Casting")</f>
        <v>PM0062 Atlas Bass Casting</v>
      </c>
      <c r="DI13" s="90" t="str">
        <f t="shared" si="6"/>
        <v>Disc</v>
      </c>
      <c r="DJ13" s="97" t="s">
        <v>395</v>
      </c>
      <c r="DK13" s="24">
        <v>0</v>
      </c>
      <c r="DL13" s="24"/>
      <c r="DM13" s="24">
        <f t="shared" si="7"/>
        <v>0</v>
      </c>
      <c r="DN13" s="27"/>
      <c r="DO13" s="45"/>
      <c r="DP13" s="45"/>
      <c r="DQ13" s="41"/>
      <c r="DR13" s="41"/>
      <c r="DS13" s="41"/>
      <c r="DT13" s="41" t="s">
        <v>421</v>
      </c>
      <c r="DU13" s="41" t="s">
        <v>421</v>
      </c>
      <c r="DV13" s="41"/>
      <c r="DW13" s="41"/>
      <c r="DX13" s="41"/>
      <c r="DY13" s="41"/>
      <c r="DZ13" s="41"/>
      <c r="EA13" s="41"/>
      <c r="EB13" s="41"/>
      <c r="ED13" s="41" t="s">
        <v>1004</v>
      </c>
      <c r="EF13" s="45"/>
      <c r="EH13" s="114">
        <f t="shared" si="29"/>
        <v>0</v>
      </c>
      <c r="EI13" s="46"/>
      <c r="EJ13" s="32"/>
      <c r="EK13" s="35">
        <v>6</v>
      </c>
      <c r="EL13" s="178">
        <f t="shared" si="52"/>
        <v>0</v>
      </c>
      <c r="EM13" s="64" t="str">
        <f t="shared" si="30"/>
        <v/>
      </c>
      <c r="EN13" s="64" t="str">
        <f t="shared" si="31"/>
        <v/>
      </c>
      <c r="EO13" s="64" t="str">
        <f t="shared" si="53"/>
        <v>Double</v>
      </c>
      <c r="EP13" s="19"/>
      <c r="EQ13" s="140"/>
      <c r="ER13" s="133"/>
      <c r="EU13" s="24">
        <f t="shared" si="32"/>
        <v>0</v>
      </c>
      <c r="EV13" s="60">
        <v>13</v>
      </c>
      <c r="EW13" s="64">
        <f t="shared" si="33"/>
        <v>1</v>
      </c>
      <c r="EX13" s="19">
        <f t="shared" si="34"/>
        <v>0</v>
      </c>
      <c r="EY13" s="19">
        <f t="shared" si="35"/>
        <v>0</v>
      </c>
      <c r="EZ13" s="55" t="str">
        <f t="shared" si="36"/>
        <v/>
      </c>
      <c r="FA13" s="19">
        <f t="shared" si="37"/>
        <v>0</v>
      </c>
      <c r="FB13" s="55" t="str">
        <f t="shared" si="38"/>
        <v/>
      </c>
      <c r="FC13" s="56">
        <f t="shared" si="39"/>
        <v>0</v>
      </c>
      <c r="FD13" s="139" t="str">
        <f t="shared" si="40"/>
        <v xml:space="preserve"> </v>
      </c>
      <c r="FF13" s="66">
        <f t="shared" ca="1" si="41"/>
        <v>0</v>
      </c>
      <c r="FG13" s="66" t="str">
        <f t="shared" ca="1" si="42"/>
        <v/>
      </c>
      <c r="FH13" s="66" t="str">
        <f t="shared" ca="1" si="43"/>
        <v/>
      </c>
      <c r="FI13" s="97" t="str">
        <f t="shared" si="44"/>
        <v/>
      </c>
      <c r="FJ13" s="97" t="str">
        <f t="shared" si="45"/>
        <v/>
      </c>
      <c r="FK13" s="97" t="str">
        <f t="shared" si="46"/>
        <v/>
      </c>
      <c r="FL13" s="97" t="str">
        <f t="shared" si="47"/>
        <v/>
      </c>
      <c r="FM13" s="97" t="str">
        <f t="shared" si="48"/>
        <v/>
      </c>
      <c r="FN13" s="169" t="str">
        <f t="shared" si="49"/>
        <v/>
      </c>
      <c r="FO13" s="65" t="str">
        <f t="shared" si="50"/>
        <v/>
      </c>
      <c r="FP13" s="170" t="str">
        <f t="shared" si="51"/>
        <v/>
      </c>
      <c r="FQ13" s="65"/>
      <c r="FR13" s="12" t="s">
        <v>86</v>
      </c>
      <c r="FS13" s="65">
        <f t="shared" si="54"/>
        <v>0</v>
      </c>
      <c r="FT13" s="65"/>
      <c r="FU13" s="65"/>
      <c r="FX13" s="29"/>
      <c r="GD13" s="82" t="s">
        <v>580</v>
      </c>
      <c r="GE13" s="124" t="str">
        <f>IF(AND($B8="Bass",$G$23=""),$E$23,IF($B8="Bass",$G$23,""))</f>
        <v/>
      </c>
      <c r="GF13" s="124" t="str">
        <f>IF(AND($B9="Bass",$G$23=""),$E$23,IF($B9="Bass",$G$23,""))</f>
        <v/>
      </c>
      <c r="GG13" s="124" t="str">
        <f>IF(AND($B10="Bass",$G$23=""),$E$23,IF($B10="Bass",$G$23,""))</f>
        <v/>
      </c>
      <c r="GH13" s="124" t="str">
        <f>IF(AND($B11="Bass",$G$23=""),$E$23,IF($B11="Bass",$G$23,""))</f>
        <v/>
      </c>
      <c r="GI13" s="124" t="str">
        <f>IF(AND($B12="Bass",$G$23=""),$E$23,IF($B12="Bass",$G$23,""))</f>
        <v/>
      </c>
      <c r="GJ13" s="124" t="str">
        <f>IF(AND($B13="Bass",$G$23=""),$E$23,IF($B13="Bass",$G$23,""))</f>
        <v/>
      </c>
      <c r="GK13" s="124" t="str">
        <f>IF(AND($B14="Bass",$G$23=""),$E$23,IF($B148="Bass",$G$23,""))</f>
        <v/>
      </c>
      <c r="GL13" s="88" t="str">
        <f>IF(AND($B15="Bass",$G$23=""),$E$23,IF($B15="Bass",$G$23,""))</f>
        <v/>
      </c>
      <c r="GM13" s="88" t="str">
        <f>IF(AND($B16="Bass",$G$23=""),$E$23,IF($B16="Bass",$G$23,""))</f>
        <v/>
      </c>
      <c r="GN13" s="88" t="str">
        <f>IF(AND($B17="Bass",$G$23=""),$E$23,IF($B17="Bass",$G$23,""))</f>
        <v/>
      </c>
      <c r="GO13" s="88" t="str">
        <f>IF(AND($B18="Bass",$G$23=""),$E$23,IF($B18="Bass",$G$23,""))</f>
        <v/>
      </c>
      <c r="GP13" s="88" t="str">
        <f>IF(AND($B19="Bass",$G$23=""),$E$23,IF($B19="Bass",$G$23,""))</f>
        <v/>
      </c>
      <c r="GQ13" s="88" t="str">
        <f>IF(AND($B20="Bass",$G$23=""),$E$23,IF($B20="Bass",$G$23,""))</f>
        <v/>
      </c>
      <c r="GR13" s="24"/>
    </row>
    <row r="14" spans="1:200" ht="15.75" x14ac:dyDescent="0.25">
      <c r="A14" s="197">
        <v>1</v>
      </c>
      <c r="B14" s="198"/>
      <c r="C14" s="198"/>
      <c r="D14" s="360" t="str">
        <f t="shared" si="14"/>
        <v/>
      </c>
      <c r="E14" s="198"/>
      <c r="F14" s="360" t="str">
        <f t="shared" si="15"/>
        <v/>
      </c>
      <c r="G14" s="199"/>
      <c r="H14" s="360" t="str">
        <f t="shared" si="16"/>
        <v/>
      </c>
      <c r="I14" s="360" t="str">
        <f t="shared" si="17"/>
        <v/>
      </c>
      <c r="J14" s="360" t="str">
        <f t="shared" si="18"/>
        <v/>
      </c>
      <c r="K14" s="97" t="str">
        <f t="shared" si="19"/>
        <v/>
      </c>
      <c r="L14" s="360">
        <f t="shared" si="20"/>
        <v>0</v>
      </c>
      <c r="M14" s="296"/>
      <c r="P14" s="311">
        <f t="shared" si="21"/>
        <v>0</v>
      </c>
      <c r="Q14" s="311">
        <f t="shared" si="55"/>
        <v>0</v>
      </c>
      <c r="R14" s="48"/>
      <c r="S14" s="303">
        <f t="shared" si="22"/>
        <v>0</v>
      </c>
      <c r="T14" s="303">
        <f t="shared" si="23"/>
        <v>0</v>
      </c>
      <c r="U14" s="303">
        <f t="shared" si="24"/>
        <v>0</v>
      </c>
      <c r="V14" s="303">
        <f t="shared" si="25"/>
        <v>0</v>
      </c>
      <c r="W14" s="303" t="e">
        <f t="shared" si="26"/>
        <v>#DIV/0!</v>
      </c>
      <c r="X14" s="66" t="e">
        <f t="shared" ca="1" si="27"/>
        <v>#N/A</v>
      </c>
      <c r="Y14" s="24" t="e">
        <f ca="1">IF($X$5=14,0,1)</f>
        <v>#N/A</v>
      </c>
      <c r="AA14" s="177" t="e">
        <f t="shared" si="28"/>
        <v>#N/A</v>
      </c>
      <c r="AG14" s="144" t="s">
        <v>437</v>
      </c>
      <c r="AH14" s="146" t="s">
        <v>815</v>
      </c>
      <c r="AI14" s="45" t="s">
        <v>410</v>
      </c>
      <c r="AJ14" s="147" t="s">
        <v>620</v>
      </c>
      <c r="AK14" s="148" t="s">
        <v>437</v>
      </c>
      <c r="AL14" s="28"/>
      <c r="AM14" s="157" t="s">
        <v>828</v>
      </c>
      <c r="AN14" s="146">
        <f>CD47</f>
        <v>40</v>
      </c>
      <c r="AO14" s="146">
        <f>CD48</f>
        <v>40</v>
      </c>
      <c r="AP14" s="146">
        <f>CD49</f>
        <v>30</v>
      </c>
      <c r="AQ14" s="146">
        <f>CD50</f>
        <v>60</v>
      </c>
      <c r="AR14" s="144" t="s">
        <v>877</v>
      </c>
      <c r="AS14" s="28"/>
      <c r="AT14" s="1" t="s">
        <v>460</v>
      </c>
      <c r="AU14" s="205" t="s">
        <v>441</v>
      </c>
      <c r="AV14" s="206" t="s">
        <v>441</v>
      </c>
      <c r="AW14" s="9" t="s">
        <v>465</v>
      </c>
      <c r="AX14" s="206" t="s">
        <v>439</v>
      </c>
      <c r="BA14" s="12" t="s">
        <v>35</v>
      </c>
      <c r="BB14" s="12"/>
      <c r="BC14" s="13" t="str">
        <f t="shared" si="8"/>
        <v>Classic Maple 20x22 Bass Drum</v>
      </c>
      <c r="BD14" s="12" t="s">
        <v>35</v>
      </c>
      <c r="BE14" s="101"/>
      <c r="BG14" s="13" t="str">
        <f t="shared" si="56"/>
        <v>Legacy Maple 18x22 Bass Drum</v>
      </c>
      <c r="BH14" s="12" t="s">
        <v>34</v>
      </c>
      <c r="BI14" s="98"/>
      <c r="BK14" s="13" t="str">
        <f t="shared" si="57"/>
        <v>Legacy Mahogany 18x22 Bass Drum</v>
      </c>
      <c r="BL14" s="12" t="s">
        <v>34</v>
      </c>
      <c r="BM14" s="98"/>
      <c r="BN14" s="16"/>
      <c r="BO14" s="13" t="str">
        <f t="shared" si="58"/>
        <v>Legacy Exotic 18x22 Bass Drum</v>
      </c>
      <c r="BP14" s="12" t="s">
        <v>34</v>
      </c>
      <c r="BQ14" s="94"/>
      <c r="BR14" s="40" t="s">
        <v>694</v>
      </c>
      <c r="BS14" s="12" t="s">
        <v>35</v>
      </c>
      <c r="BT14" s="238"/>
      <c r="BU14" s="239" t="s">
        <v>34</v>
      </c>
      <c r="BV14" s="240" t="s">
        <v>693</v>
      </c>
      <c r="BW14" s="241">
        <f t="shared" si="60"/>
        <v>1728</v>
      </c>
      <c r="BX14" s="241">
        <f t="shared" si="60"/>
        <v>2577</v>
      </c>
      <c r="BY14" s="241">
        <f t="shared" si="60"/>
        <v>2577</v>
      </c>
      <c r="BZ14" s="241">
        <f t="shared" si="60"/>
        <v>2672</v>
      </c>
      <c r="CA14" s="241">
        <f t="shared" si="60"/>
        <v>1616</v>
      </c>
      <c r="CB14" s="242"/>
      <c r="CC14" s="243" t="s">
        <v>1013</v>
      </c>
      <c r="CD14" s="313">
        <v>135</v>
      </c>
      <c r="CE14" s="242"/>
      <c r="CF14" s="239" t="str">
        <f t="shared" si="59"/>
        <v>18x22 Bass Drum</v>
      </c>
      <c r="CG14" s="130" t="s">
        <v>126</v>
      </c>
      <c r="CH14" s="130" t="s">
        <v>188</v>
      </c>
      <c r="CI14" s="130" t="s">
        <v>246</v>
      </c>
      <c r="CJ14" s="130" t="s">
        <v>304</v>
      </c>
      <c r="CK14" s="130" t="s">
        <v>769</v>
      </c>
      <c r="CL14" s="94"/>
      <c r="CM14" s="288" t="s">
        <v>19</v>
      </c>
      <c r="CN14" s="27" t="str">
        <f t="shared" si="3"/>
        <v>Bass.16x20 Bass Drum</v>
      </c>
      <c r="CO14" s="12" t="s">
        <v>29</v>
      </c>
      <c r="CP14" s="93" t="str">
        <f t="shared" si="4"/>
        <v>MLLCLL</v>
      </c>
      <c r="CQ14" s="285" t="s">
        <v>831</v>
      </c>
      <c r="CR14" s="285" t="s">
        <v>829</v>
      </c>
      <c r="CS14" s="285" t="s">
        <v>731</v>
      </c>
      <c r="CT14" s="64"/>
      <c r="CU14" s="64"/>
      <c r="CV14" s="64"/>
      <c r="CW14" s="64"/>
      <c r="CX14" s="64"/>
      <c r="CY14" s="24">
        <f t="shared" si="5"/>
        <v>0</v>
      </c>
      <c r="CZ14" s="42" t="s">
        <v>856</v>
      </c>
      <c r="DA14" s="80"/>
      <c r="DB14" s="107"/>
      <c r="DC14" s="8" t="s">
        <v>367</v>
      </c>
      <c r="DD14" s="90">
        <f>CD128</f>
        <v>30</v>
      </c>
      <c r="DE14" s="97" t="s">
        <v>387</v>
      </c>
      <c r="DF14" s="285">
        <f t="shared" si="10"/>
        <v>0</v>
      </c>
      <c r="DI14" s="90"/>
      <c r="DJ14" s="97"/>
      <c r="DK14" s="24"/>
      <c r="DL14" s="24"/>
      <c r="DM14" s="24"/>
      <c r="DN14" s="27"/>
      <c r="DO14" s="45"/>
      <c r="DP14" s="45"/>
      <c r="DQ14" s="41"/>
      <c r="DR14" s="41"/>
      <c r="DS14" s="41"/>
      <c r="DT14" s="41" t="s">
        <v>422</v>
      </c>
      <c r="DU14" s="41" t="s">
        <v>422</v>
      </c>
      <c r="DV14" s="41"/>
      <c r="DW14" s="41"/>
      <c r="DX14" s="41"/>
      <c r="DY14" s="41"/>
      <c r="DZ14" s="41"/>
      <c r="EA14" s="41"/>
      <c r="EB14" s="41"/>
      <c r="ED14" s="25" t="s">
        <v>889</v>
      </c>
      <c r="EE14" s="41">
        <v>0</v>
      </c>
      <c r="EF14" s="45"/>
      <c r="EH14" s="114">
        <f t="shared" si="29"/>
        <v>0</v>
      </c>
      <c r="EI14" s="46"/>
      <c r="EJ14" s="32"/>
      <c r="EK14" s="35">
        <v>7</v>
      </c>
      <c r="EL14" s="178">
        <f t="shared" si="52"/>
        <v>0</v>
      </c>
      <c r="EM14" s="64" t="str">
        <f t="shared" si="30"/>
        <v/>
      </c>
      <c r="EN14" s="64" t="str">
        <f t="shared" si="31"/>
        <v/>
      </c>
      <c r="EO14" s="64" t="str">
        <f t="shared" si="53"/>
        <v>Double</v>
      </c>
      <c r="EP14" s="19"/>
      <c r="EQ14" s="140"/>
      <c r="ER14" s="133"/>
      <c r="EU14" s="24">
        <f t="shared" si="32"/>
        <v>0</v>
      </c>
      <c r="EV14" s="60">
        <v>14</v>
      </c>
      <c r="EW14" s="64">
        <f t="shared" si="33"/>
        <v>1</v>
      </c>
      <c r="EX14" s="19">
        <f t="shared" si="34"/>
        <v>0</v>
      </c>
      <c r="EY14" s="19">
        <f t="shared" si="35"/>
        <v>0</v>
      </c>
      <c r="EZ14" s="55" t="str">
        <f t="shared" si="36"/>
        <v/>
      </c>
      <c r="FA14" s="19">
        <f t="shared" si="37"/>
        <v>0</v>
      </c>
      <c r="FB14" s="55" t="str">
        <f t="shared" si="38"/>
        <v/>
      </c>
      <c r="FC14" s="56">
        <f t="shared" si="39"/>
        <v>0</v>
      </c>
      <c r="FD14" s="139" t="str">
        <f t="shared" si="40"/>
        <v xml:space="preserve"> </v>
      </c>
      <c r="FF14" s="66">
        <f t="shared" ca="1" si="41"/>
        <v>0</v>
      </c>
      <c r="FG14" s="66" t="str">
        <f t="shared" ca="1" si="42"/>
        <v/>
      </c>
      <c r="FH14" s="66" t="str">
        <f t="shared" ca="1" si="43"/>
        <v/>
      </c>
      <c r="FI14" s="97" t="str">
        <f t="shared" si="44"/>
        <v/>
      </c>
      <c r="FJ14" s="97" t="str">
        <f t="shared" si="45"/>
        <v/>
      </c>
      <c r="FK14" s="97" t="str">
        <f t="shared" si="46"/>
        <v/>
      </c>
      <c r="FL14" s="97" t="str">
        <f t="shared" si="47"/>
        <v/>
      </c>
      <c r="FM14" s="97" t="str">
        <f t="shared" si="48"/>
        <v/>
      </c>
      <c r="FN14" s="169" t="str">
        <f t="shared" si="49"/>
        <v/>
      </c>
      <c r="FO14" s="65" t="str">
        <f t="shared" si="50"/>
        <v/>
      </c>
      <c r="FP14" s="170" t="str">
        <f t="shared" si="51"/>
        <v/>
      </c>
      <c r="FQ14" s="65"/>
      <c r="FR14" s="12" t="s">
        <v>87</v>
      </c>
      <c r="FS14" s="65">
        <f t="shared" si="54"/>
        <v>0</v>
      </c>
      <c r="FT14" s="65"/>
      <c r="FU14" s="65"/>
      <c r="FV14" s="29"/>
      <c r="FW14" s="29"/>
      <c r="FX14" s="29"/>
      <c r="FY14" s="29"/>
      <c r="GD14" s="82" t="s">
        <v>18</v>
      </c>
      <c r="GE14" s="123" t="str">
        <f>IF($E8="","",$E8)</f>
        <v/>
      </c>
      <c r="GF14" s="123" t="str">
        <f>IF($E9="","",$E9)</f>
        <v/>
      </c>
      <c r="GG14" s="123" t="str">
        <f>IF($E10="","",$E10)</f>
        <v/>
      </c>
      <c r="GH14" s="123" t="str">
        <f>IF($E11="","",$E11)</f>
        <v/>
      </c>
      <c r="GI14" s="123" t="str">
        <f>IF($E12="","",$E12)</f>
        <v/>
      </c>
      <c r="GJ14" s="123" t="str">
        <f>IF($E13="","",$E13)</f>
        <v/>
      </c>
      <c r="GK14" s="123" t="str">
        <f>IF($E14="","",$E14)</f>
        <v/>
      </c>
      <c r="GL14" s="86" t="str">
        <f>IF($E15="","",$E15)</f>
        <v/>
      </c>
      <c r="GM14" s="86" t="str">
        <f>IF($E16="","",$E16)</f>
        <v/>
      </c>
      <c r="GN14" s="86" t="str">
        <f>IF($E17="","",$E17)</f>
        <v/>
      </c>
      <c r="GO14" s="86" t="str">
        <f>IF($E18="","",$E18)</f>
        <v/>
      </c>
      <c r="GP14" s="86" t="str">
        <f>IF($E19="","",$E19)</f>
        <v/>
      </c>
      <c r="GQ14" s="86" t="str">
        <f>IF($E20="","",$E20)</f>
        <v/>
      </c>
    </row>
    <row r="15" spans="1:200" ht="15.75" x14ac:dyDescent="0.25">
      <c r="A15" s="197">
        <v>1</v>
      </c>
      <c r="B15" s="198"/>
      <c r="C15" s="198"/>
      <c r="D15" s="360" t="str">
        <f t="shared" si="14"/>
        <v/>
      </c>
      <c r="E15" s="198"/>
      <c r="F15" s="360" t="str">
        <f t="shared" si="15"/>
        <v/>
      </c>
      <c r="G15" s="199"/>
      <c r="H15" s="360" t="str">
        <f t="shared" si="16"/>
        <v/>
      </c>
      <c r="I15" s="360" t="str">
        <f t="shared" si="17"/>
        <v/>
      </c>
      <c r="J15" s="360" t="str">
        <f t="shared" si="18"/>
        <v/>
      </c>
      <c r="K15" s="97" t="str">
        <f t="shared" si="19"/>
        <v/>
      </c>
      <c r="L15" s="360">
        <f t="shared" si="20"/>
        <v>0</v>
      </c>
      <c r="M15" s="296"/>
      <c r="P15" s="311">
        <f t="shared" si="21"/>
        <v>0</v>
      </c>
      <c r="Q15" s="311">
        <f t="shared" si="55"/>
        <v>0</v>
      </c>
      <c r="R15" s="48"/>
      <c r="S15" s="303">
        <f t="shared" si="22"/>
        <v>0</v>
      </c>
      <c r="T15" s="303">
        <f t="shared" si="23"/>
        <v>0</v>
      </c>
      <c r="U15" s="303">
        <f t="shared" si="24"/>
        <v>0</v>
      </c>
      <c r="V15" s="303">
        <f t="shared" si="25"/>
        <v>0</v>
      </c>
      <c r="W15" s="303" t="e">
        <f t="shared" si="26"/>
        <v>#DIV/0!</v>
      </c>
      <c r="X15" s="66" t="e">
        <f t="shared" ca="1" si="27"/>
        <v>#N/A</v>
      </c>
      <c r="Y15" s="24" t="e">
        <f ca="1">IF($X$5=15,0,1)</f>
        <v>#N/A</v>
      </c>
      <c r="AA15" s="177" t="e">
        <f t="shared" si="28"/>
        <v>#N/A</v>
      </c>
      <c r="AG15" s="151" t="s">
        <v>438</v>
      </c>
      <c r="AH15" s="152" t="s">
        <v>815</v>
      </c>
      <c r="AI15" s="211" t="s">
        <v>410</v>
      </c>
      <c r="AJ15" s="212" t="s">
        <v>620</v>
      </c>
      <c r="AK15" s="213" t="s">
        <v>438</v>
      </c>
      <c r="AL15" s="28"/>
      <c r="AM15" s="28"/>
      <c r="AN15" s="28"/>
      <c r="AO15" s="28"/>
      <c r="AP15" s="28"/>
      <c r="AQ15" s="28"/>
      <c r="AR15" s="144" t="s">
        <v>909</v>
      </c>
      <c r="AS15" s="28"/>
      <c r="AT15" s="1" t="s">
        <v>461</v>
      </c>
      <c r="AU15" s="205" t="s">
        <v>988</v>
      </c>
      <c r="AV15" s="206" t="s">
        <v>988</v>
      </c>
      <c r="AW15" s="9" t="s">
        <v>477</v>
      </c>
      <c r="AX15" s="206" t="s">
        <v>441</v>
      </c>
      <c r="BA15" s="12" t="s">
        <v>36</v>
      </c>
      <c r="BB15" s="12"/>
      <c r="BC15" s="13" t="str">
        <f t="shared" si="8"/>
        <v>Classic Maple 12x24 Bass Drum</v>
      </c>
      <c r="BD15" s="12" t="s">
        <v>36</v>
      </c>
      <c r="BE15" s="101"/>
      <c r="BG15" s="13" t="str">
        <f t="shared" si="56"/>
        <v>Legacy Maple 20x22 Bass Drum</v>
      </c>
      <c r="BH15" s="12" t="s">
        <v>35</v>
      </c>
      <c r="BI15" s="98"/>
      <c r="BK15" s="13" t="str">
        <f t="shared" si="57"/>
        <v>Legacy Mahogany 20x22 Bass Drum</v>
      </c>
      <c r="BL15" s="12" t="s">
        <v>35</v>
      </c>
      <c r="BM15" s="98"/>
      <c r="BN15" s="16"/>
      <c r="BO15" s="13" t="str">
        <f t="shared" si="58"/>
        <v>Legacy Exotic 20x22 Bass Drum</v>
      </c>
      <c r="BP15" s="12" t="s">
        <v>35</v>
      </c>
      <c r="BQ15" s="94"/>
      <c r="BR15" s="40" t="s">
        <v>695</v>
      </c>
      <c r="BS15" s="12" t="s">
        <v>36</v>
      </c>
      <c r="BT15" s="238"/>
      <c r="BU15" s="239" t="s">
        <v>35</v>
      </c>
      <c r="BV15" s="240" t="s">
        <v>694</v>
      </c>
      <c r="BW15" s="241">
        <f t="shared" si="60"/>
        <v>1728</v>
      </c>
      <c r="BX15" s="241">
        <f t="shared" si="60"/>
        <v>2577</v>
      </c>
      <c r="BY15" s="241">
        <f t="shared" si="60"/>
        <v>2577</v>
      </c>
      <c r="BZ15" s="241">
        <f t="shared" si="60"/>
        <v>2672</v>
      </c>
      <c r="CA15" s="241">
        <f t="shared" si="60"/>
        <v>1616</v>
      </c>
      <c r="CB15" s="242"/>
      <c r="CC15" s="243" t="s">
        <v>1018</v>
      </c>
      <c r="CD15" s="313">
        <v>85</v>
      </c>
      <c r="CE15" s="242"/>
      <c r="CF15" s="239" t="str">
        <f t="shared" si="59"/>
        <v>20x22 Bass Drum</v>
      </c>
      <c r="CG15" s="130" t="s">
        <v>127</v>
      </c>
      <c r="CH15" s="130" t="s">
        <v>189</v>
      </c>
      <c r="CI15" s="130" t="s">
        <v>247</v>
      </c>
      <c r="CJ15" s="130" t="s">
        <v>305</v>
      </c>
      <c r="CK15" s="130" t="s">
        <v>770</v>
      </c>
      <c r="CL15" s="94"/>
      <c r="CM15" s="288" t="s">
        <v>19</v>
      </c>
      <c r="CN15" s="27" t="str">
        <f t="shared" si="3"/>
        <v>Bass.16x22 Bass Drum</v>
      </c>
      <c r="CO15" s="12" t="s">
        <v>33</v>
      </c>
      <c r="CP15" s="93" t="str">
        <f t="shared" si="4"/>
        <v>MLLCLL</v>
      </c>
      <c r="CQ15" s="285" t="s">
        <v>831</v>
      </c>
      <c r="CR15" s="285" t="s">
        <v>829</v>
      </c>
      <c r="CS15" s="285" t="s">
        <v>731</v>
      </c>
      <c r="CT15" s="285"/>
      <c r="CU15" s="285"/>
      <c r="CV15" s="285"/>
      <c r="CW15" s="285"/>
      <c r="CX15" s="285"/>
      <c r="CY15" s="24">
        <f t="shared" si="5"/>
        <v>0</v>
      </c>
      <c r="CZ15" s="42" t="s">
        <v>856</v>
      </c>
      <c r="DA15" s="80"/>
      <c r="DB15" s="107"/>
      <c r="DC15" s="316" t="s">
        <v>1144</v>
      </c>
      <c r="DD15" s="90">
        <f>CD139</f>
        <v>40</v>
      </c>
      <c r="DE15" s="97" t="s">
        <v>1124</v>
      </c>
      <c r="DF15" s="285">
        <f t="shared" si="10"/>
        <v>0</v>
      </c>
      <c r="DH15" t="s">
        <v>384</v>
      </c>
      <c r="DI15" s="90" t="s">
        <v>14</v>
      </c>
      <c r="DJ15" s="31" t="s">
        <v>15</v>
      </c>
      <c r="DK15" s="24" t="s">
        <v>641</v>
      </c>
      <c r="DL15" s="24"/>
      <c r="DM15" s="24">
        <f>+DM3+DM4+DM10+DM13</f>
        <v>0</v>
      </c>
      <c r="DN15" s="27" t="s">
        <v>950</v>
      </c>
      <c r="DO15" s="45"/>
      <c r="DP15" s="45"/>
      <c r="DQ15" s="41"/>
      <c r="DR15" s="41"/>
      <c r="DS15" s="41"/>
      <c r="DT15" s="41" t="s">
        <v>623</v>
      </c>
      <c r="DU15" s="41" t="s">
        <v>623</v>
      </c>
      <c r="DV15" s="41"/>
      <c r="DW15" s="41"/>
      <c r="DX15" s="41"/>
      <c r="DY15" s="41"/>
      <c r="DZ15" s="41"/>
      <c r="EA15" s="41"/>
      <c r="EB15" s="41"/>
      <c r="ED15" s="25" t="s">
        <v>890</v>
      </c>
      <c r="EE15" s="41">
        <v>0</v>
      </c>
      <c r="EF15" s="45"/>
      <c r="EH15" s="114">
        <f t="shared" si="29"/>
        <v>0</v>
      </c>
      <c r="EI15" s="46"/>
      <c r="EJ15" s="32"/>
      <c r="EK15" s="35">
        <v>8</v>
      </c>
      <c r="EL15" s="178">
        <f t="shared" si="52"/>
        <v>0</v>
      </c>
      <c r="EM15" s="64" t="str">
        <f t="shared" si="30"/>
        <v/>
      </c>
      <c r="EN15" s="64" t="str">
        <f t="shared" ref="EN15:EN20" si="61">IF(B15="Bass",E15,"")</f>
        <v/>
      </c>
      <c r="EO15" s="64" t="str">
        <f t="shared" si="53"/>
        <v>Double</v>
      </c>
      <c r="EP15" s="19"/>
      <c r="EQ15" s="140"/>
      <c r="ER15" s="133"/>
      <c r="EU15" s="24">
        <f t="shared" si="32"/>
        <v>0</v>
      </c>
      <c r="EV15" s="60">
        <v>15</v>
      </c>
      <c r="EW15" s="64">
        <f t="shared" si="33"/>
        <v>1</v>
      </c>
      <c r="EX15" s="19">
        <f t="shared" si="34"/>
        <v>0</v>
      </c>
      <c r="EY15" s="19">
        <f t="shared" si="35"/>
        <v>0</v>
      </c>
      <c r="EZ15" s="55" t="str">
        <f t="shared" si="36"/>
        <v/>
      </c>
      <c r="FA15" s="19">
        <f t="shared" si="37"/>
        <v>0</v>
      </c>
      <c r="FB15" s="55" t="str">
        <f t="shared" si="38"/>
        <v/>
      </c>
      <c r="FC15" s="56">
        <f t="shared" si="39"/>
        <v>0</v>
      </c>
      <c r="FD15" s="139" t="str">
        <f t="shared" si="40"/>
        <v xml:space="preserve"> </v>
      </c>
      <c r="FF15" s="66">
        <f t="shared" ca="1" si="41"/>
        <v>0</v>
      </c>
      <c r="FG15" s="66" t="str">
        <f t="shared" ca="1" si="42"/>
        <v/>
      </c>
      <c r="FH15" s="66" t="str">
        <f t="shared" ca="1" si="43"/>
        <v/>
      </c>
      <c r="FI15" s="97" t="str">
        <f t="shared" si="44"/>
        <v/>
      </c>
      <c r="FJ15" s="97" t="str">
        <f t="shared" si="45"/>
        <v/>
      </c>
      <c r="FK15" s="97" t="str">
        <f t="shared" si="46"/>
        <v/>
      </c>
      <c r="FL15" s="97" t="str">
        <f t="shared" si="47"/>
        <v/>
      </c>
      <c r="FM15" s="97" t="str">
        <f t="shared" si="48"/>
        <v/>
      </c>
      <c r="FN15" s="169" t="str">
        <f t="shared" si="49"/>
        <v/>
      </c>
      <c r="FO15" s="65" t="str">
        <f t="shared" si="50"/>
        <v/>
      </c>
      <c r="FP15" s="170" t="str">
        <f t="shared" si="51"/>
        <v/>
      </c>
      <c r="FQ15" s="65"/>
      <c r="FR15" s="12" t="s">
        <v>88</v>
      </c>
      <c r="FS15" s="65">
        <f t="shared" si="54"/>
        <v>0</v>
      </c>
      <c r="FT15" s="65"/>
      <c r="FU15" s="65"/>
      <c r="FX15" s="29"/>
      <c r="GD15" s="82" t="s">
        <v>554</v>
      </c>
      <c r="GE15" s="123" t="str">
        <f>IF($B$8="","",IF(AND($B$8="Bass",$B$30="Single"),"Single Head",IF(AND($B$8="Tom",$B$36="Single"),"Single Head",IF(AND($B$8="Floor",$B$42="Single"),"Single Head","Double Head"))))</f>
        <v/>
      </c>
      <c r="GF15" s="123" t="str">
        <f>IF($B$9="","",IF(AND($B$9="Bass",$B$30="Single"),"Single Head",IF(AND($B$9="Tom",$B$36="Single"),"Single Head",IF(AND($B$9="Floor",$B$42="Single"),"Single Head","Double Head"))))</f>
        <v/>
      </c>
      <c r="GG15" s="123" t="str">
        <f>IF($B$10="","",IF(AND($B$10="Bass",$B$30="Single"),"Single Head",IF(AND($B$10="Tom",$B$36="Single"),"Single Head",IF(AND($B$10="Floor",$B$42="Single"),"Single Head","Double Head"))))</f>
        <v/>
      </c>
      <c r="GH15" s="123" t="str">
        <f>IF($B$11="","",IF(AND($B$11="Bass",$B$30="Single"),"Single Head",IF(AND($B$11="Tom",$B$36="Single"),"Single Head",IF(AND($B$11="Floor",$B$42="Single"),"Single Head","Double Head"))))</f>
        <v/>
      </c>
      <c r="GI15" s="123" t="str">
        <f>IF($B$12="","",IF(AND($B$12="Bass",$B$30="Single"),"Single Head",IF(AND($B$12="Tom",$B$36="Single"),"Single Head",IF(AND($B$12="Floor",$B$42="Single"),"Single Head","Double Head"))))</f>
        <v/>
      </c>
      <c r="GJ15" s="123" t="str">
        <f>IF($B$13="","",IF(AND($B$13="Bass",$B$30="Single"),"Single Head",IF(AND($B$13="Tom",$B$36="Single"),"Single Head",IF(AND($B$13="Floor",$B$42="Single"),"Single Head","Double Head"))))</f>
        <v/>
      </c>
      <c r="GK15" s="123" t="str">
        <f>IF($B$14="","",IF(AND($B$14="Bass",$B$30="Single"),"Single Head",IF(AND($B$14="Tom",$B$36="Single"),"Single Head",IF(AND($B$14="Floor",$B$42="Single"),"Single Head","Double Head"))))</f>
        <v/>
      </c>
      <c r="GL15" s="123" t="str">
        <f>IF($B$15="","",IF(AND($B$15="Bass",$B$30="Single"),"Single Head",IF(AND($B$15="Tom",$B$36="Single"),"Single Head",IF(AND($B$15="Floor",$B$42="Single"),"Single Head","Double Head"))))</f>
        <v/>
      </c>
      <c r="GM15" s="123" t="str">
        <f>IF($B$16="","",IF(AND($B$16="Bass",$B$30="Single"),"Single Head",IF(AND($B$16="Tom",$B$36="Single"),"Single Head",IF(AND($B$16="Floor",$B$42="Single"),"Single Head","Double Head"))))</f>
        <v/>
      </c>
      <c r="GN15" s="123" t="str">
        <f>IF($B$17="","",IF(AND($B$17="Bass",$B$30="Single"),"Single Head",IF(AND($B$17="Tom",$B$36="Single"),"Single Head",IF(AND($B$17="Floor",$B$42="Single"),"Single Head","Double Head"))))</f>
        <v/>
      </c>
      <c r="GO15" s="123" t="str">
        <f>IF($B$18="","",IF(AND($B$18="Bass",$B$30="Single"),"Single Head",IF(AND($B$18="Tom",$B$36="Single"),"Single Head",IF(AND($B$18="Floor",$B$42="Single"),"Single Head","Double Head"))))</f>
        <v/>
      </c>
      <c r="GP15" s="123" t="str">
        <f>IF($B$19="","",IF(AND($B$19="Bass",$B$30="Single"),"Single Head",IF(AND($B$19="Tom",$B$36="Single"),"Single Head",IF(AND($B$19="Floor",$B$42="Single"),"Single Head","Double Head"))))</f>
        <v/>
      </c>
      <c r="GQ15" s="123" t="str">
        <f>IF($B$20="","",IF(AND($B$20="Bass",$B$30="Single"),"Single Head",IF(AND($B$20="Tom",$B$36="Single"),"Single Head",IF(AND($B$20="Floor",$B$42="Single"),"Single Head","Double Head"))))</f>
        <v/>
      </c>
    </row>
    <row r="16" spans="1:200" ht="15.75" x14ac:dyDescent="0.25">
      <c r="A16" s="197">
        <v>1</v>
      </c>
      <c r="B16" s="198"/>
      <c r="C16" s="198"/>
      <c r="D16" s="360" t="str">
        <f t="shared" si="14"/>
        <v/>
      </c>
      <c r="E16" s="198"/>
      <c r="F16" s="360" t="str">
        <f t="shared" si="15"/>
        <v/>
      </c>
      <c r="G16" s="199"/>
      <c r="H16" s="360" t="str">
        <f t="shared" si="16"/>
        <v/>
      </c>
      <c r="I16" s="360" t="str">
        <f t="shared" si="17"/>
        <v/>
      </c>
      <c r="J16" s="360" t="str">
        <f t="shared" si="18"/>
        <v/>
      </c>
      <c r="K16" s="97" t="str">
        <f t="shared" si="19"/>
        <v/>
      </c>
      <c r="L16" s="360">
        <f t="shared" si="20"/>
        <v>0</v>
      </c>
      <c r="M16" s="296"/>
      <c r="P16" s="311">
        <f t="shared" ref="P16:P20" si="62">IFERROR(INDEX($CF:$CM,MATCH($AA16,$CF:$CF,0),MATCH("Retail",$CF$107:$CM$107,0)),0)</f>
        <v>0</v>
      </c>
      <c r="Q16" s="311">
        <f t="shared" si="55"/>
        <v>0</v>
      </c>
      <c r="R16" s="48"/>
      <c r="S16" s="303">
        <f t="shared" si="22"/>
        <v>0</v>
      </c>
      <c r="T16" s="303">
        <f t="shared" si="23"/>
        <v>0</v>
      </c>
      <c r="U16" s="303">
        <f t="shared" si="24"/>
        <v>0</v>
      </c>
      <c r="V16" s="303">
        <f t="shared" si="25"/>
        <v>0</v>
      </c>
      <c r="W16" s="303" t="e">
        <f t="shared" si="26"/>
        <v>#DIV/0!</v>
      </c>
      <c r="X16" s="66" t="e">
        <f t="shared" ca="1" si="27"/>
        <v>#N/A</v>
      </c>
      <c r="Y16" s="24" t="e">
        <f ca="1">IF($X$5=16,0,1)</f>
        <v>#N/A</v>
      </c>
      <c r="AA16" s="177" t="e">
        <f t="shared" si="28"/>
        <v>#N/A</v>
      </c>
      <c r="AG16" s="144" t="s">
        <v>12</v>
      </c>
      <c r="AH16" s="146" t="s">
        <v>815</v>
      </c>
      <c r="AI16" s="45" t="s">
        <v>410</v>
      </c>
      <c r="AJ16" s="147" t="s">
        <v>620</v>
      </c>
      <c r="AK16" s="148" t="s">
        <v>12</v>
      </c>
      <c r="AL16" s="28"/>
      <c r="AM16" s="28"/>
      <c r="AN16" s="28"/>
      <c r="AO16" s="28"/>
      <c r="AP16" s="28"/>
      <c r="AQ16" s="28"/>
      <c r="AR16" s="144" t="str">
        <f>IF(C2 = "Classic Oak","Clear Lacquer",IF(C5 = "Resa-Cote","Resa-Cote","Clear Lacquer"))</f>
        <v>Clear Lacquer</v>
      </c>
      <c r="AS16" s="28"/>
      <c r="AT16" s="1" t="s">
        <v>462</v>
      </c>
      <c r="AU16" s="4" t="s">
        <v>443</v>
      </c>
      <c r="AV16" s="2" t="s">
        <v>443</v>
      </c>
      <c r="AW16" s="9" t="s">
        <v>476</v>
      </c>
      <c r="AX16" s="2" t="s">
        <v>443</v>
      </c>
      <c r="BA16" s="12" t="s">
        <v>37</v>
      </c>
      <c r="BB16" s="12"/>
      <c r="BC16" s="13" t="str">
        <f t="shared" si="8"/>
        <v>Classic Maple 14x24 Bass Drum</v>
      </c>
      <c r="BD16" s="12" t="s">
        <v>37</v>
      </c>
      <c r="BE16" s="101"/>
      <c r="BG16" s="13" t="str">
        <f t="shared" si="56"/>
        <v>Legacy Maple 12x24 Bass Drum</v>
      </c>
      <c r="BH16" s="12" t="s">
        <v>36</v>
      </c>
      <c r="BI16" s="98"/>
      <c r="BK16" s="13" t="str">
        <f t="shared" si="57"/>
        <v>Legacy Mahogany 12x24 Bass Drum</v>
      </c>
      <c r="BL16" s="12" t="s">
        <v>36</v>
      </c>
      <c r="BM16" s="98"/>
      <c r="BN16" s="16"/>
      <c r="BO16" s="13" t="str">
        <f t="shared" si="58"/>
        <v>Legacy Exotic 12x24 Bass Drum</v>
      </c>
      <c r="BP16" s="12" t="s">
        <v>36</v>
      </c>
      <c r="BQ16" s="94"/>
      <c r="BR16" s="40" t="s">
        <v>696</v>
      </c>
      <c r="BS16" s="12" t="s">
        <v>37</v>
      </c>
      <c r="BT16" s="238"/>
      <c r="BU16" s="239" t="s">
        <v>36</v>
      </c>
      <c r="BV16" s="240" t="s">
        <v>695</v>
      </c>
      <c r="BW16" s="241">
        <f t="shared" si="60"/>
        <v>1794</v>
      </c>
      <c r="BX16" s="241">
        <f t="shared" si="60"/>
        <v>2719</v>
      </c>
      <c r="BY16" s="241">
        <f t="shared" si="60"/>
        <v>2719</v>
      </c>
      <c r="BZ16" s="241">
        <f t="shared" si="60"/>
        <v>2814</v>
      </c>
      <c r="CA16" s="241">
        <f t="shared" si="60"/>
        <v>1680</v>
      </c>
      <c r="CB16" s="242"/>
      <c r="CC16" s="243" t="s">
        <v>1019</v>
      </c>
      <c r="CD16" s="313">
        <v>110</v>
      </c>
      <c r="CE16" s="242"/>
      <c r="CF16" s="239" t="str">
        <f t="shared" si="59"/>
        <v>12x24 Bass Drum</v>
      </c>
      <c r="CG16" s="130" t="s">
        <v>128</v>
      </c>
      <c r="CH16" s="130" t="s">
        <v>190</v>
      </c>
      <c r="CI16" s="130" t="s">
        <v>248</v>
      </c>
      <c r="CJ16" s="130" t="s">
        <v>306</v>
      </c>
      <c r="CK16" s="130" t="s">
        <v>771</v>
      </c>
      <c r="CL16" s="94"/>
      <c r="CM16" s="288" t="s">
        <v>19</v>
      </c>
      <c r="CN16" s="27" t="str">
        <f t="shared" si="3"/>
        <v>Bass.16x24 Bass Drum</v>
      </c>
      <c r="CO16" s="12" t="s">
        <v>38</v>
      </c>
      <c r="CP16" s="93" t="str">
        <f t="shared" si="4"/>
        <v>MLLCLL</v>
      </c>
      <c r="CQ16" s="285" t="s">
        <v>831</v>
      </c>
      <c r="CR16" s="285" t="s">
        <v>829</v>
      </c>
      <c r="CS16" s="285" t="s">
        <v>731</v>
      </c>
      <c r="CT16" s="285"/>
      <c r="CU16" s="285"/>
      <c r="CV16" s="285"/>
      <c r="CW16" s="285"/>
      <c r="CX16" s="285"/>
      <c r="CY16" s="24">
        <f t="shared" si="5"/>
        <v>0</v>
      </c>
      <c r="CZ16" s="42" t="s">
        <v>856</v>
      </c>
      <c r="DA16" s="80"/>
      <c r="DB16" s="107"/>
      <c r="DC16" s="8" t="s">
        <v>845</v>
      </c>
      <c r="DD16" s="90">
        <f t="shared" ref="DD16:DD22" si="63">CD129</f>
        <v>0</v>
      </c>
      <c r="DE16" s="97" t="s">
        <v>840</v>
      </c>
      <c r="DF16" s="285">
        <f t="shared" si="10"/>
        <v>0</v>
      </c>
      <c r="DH16" s="29" t="s">
        <v>1136</v>
      </c>
      <c r="DI16" s="90">
        <f t="shared" ref="DI16:DI23" si="64">CD94</f>
        <v>0</v>
      </c>
      <c r="DJ16" s="97" t="s">
        <v>386</v>
      </c>
      <c r="DK16" s="24">
        <v>0</v>
      </c>
      <c r="DL16" s="24"/>
      <c r="DM16" s="24">
        <f>+DM5+DM8+DM9+DM11</f>
        <v>0</v>
      </c>
      <c r="DN16" s="27" t="s">
        <v>951</v>
      </c>
      <c r="DO16" s="45"/>
      <c r="DP16" s="45"/>
      <c r="DQ16" s="41"/>
      <c r="DR16" s="41"/>
      <c r="DS16" s="41"/>
      <c r="DT16" s="41"/>
      <c r="DU16" s="41"/>
      <c r="DV16" s="41"/>
      <c r="DW16" s="41"/>
      <c r="DX16" s="41"/>
      <c r="DY16" s="41"/>
      <c r="DZ16" s="41"/>
      <c r="EA16" s="41"/>
      <c r="EB16" s="41"/>
      <c r="ED16" s="25" t="s">
        <v>891</v>
      </c>
      <c r="EE16" s="41">
        <v>0</v>
      </c>
      <c r="EF16" s="45"/>
      <c r="EH16" s="114">
        <f t="shared" si="29"/>
        <v>0</v>
      </c>
      <c r="EI16" s="46"/>
      <c r="EJ16" s="32"/>
      <c r="EK16" s="35">
        <v>9</v>
      </c>
      <c r="EL16" s="178">
        <f t="shared" si="52"/>
        <v>0</v>
      </c>
      <c r="EM16" s="64" t="str">
        <f t="shared" si="30"/>
        <v/>
      </c>
      <c r="EN16" s="64" t="str">
        <f t="shared" si="61"/>
        <v/>
      </c>
      <c r="EO16" s="64" t="str">
        <f t="shared" si="53"/>
        <v>Double</v>
      </c>
      <c r="EP16" s="19"/>
      <c r="EQ16" s="140"/>
      <c r="ER16" s="133"/>
      <c r="EU16" s="24">
        <f t="shared" si="32"/>
        <v>0</v>
      </c>
      <c r="EV16" s="60">
        <v>16</v>
      </c>
      <c r="EW16" s="64">
        <f t="shared" si="33"/>
        <v>1</v>
      </c>
      <c r="EX16" s="19">
        <f t="shared" si="34"/>
        <v>0</v>
      </c>
      <c r="EY16" s="19">
        <f t="shared" si="35"/>
        <v>0</v>
      </c>
      <c r="EZ16" s="55" t="str">
        <f t="shared" si="36"/>
        <v/>
      </c>
      <c r="FA16" s="19">
        <f t="shared" si="37"/>
        <v>0</v>
      </c>
      <c r="FB16" s="55" t="str">
        <f t="shared" si="38"/>
        <v/>
      </c>
      <c r="FC16" s="56">
        <f t="shared" si="39"/>
        <v>0</v>
      </c>
      <c r="FD16" s="139" t="str">
        <f t="shared" si="40"/>
        <v xml:space="preserve"> </v>
      </c>
      <c r="FF16" s="66">
        <f t="shared" ca="1" si="41"/>
        <v>0</v>
      </c>
      <c r="FG16" s="66" t="str">
        <f t="shared" ca="1" si="42"/>
        <v/>
      </c>
      <c r="FH16" s="66" t="str">
        <f t="shared" ca="1" si="43"/>
        <v/>
      </c>
      <c r="FI16" s="97" t="str">
        <f t="shared" si="44"/>
        <v/>
      </c>
      <c r="FJ16" s="97" t="str">
        <f t="shared" si="45"/>
        <v/>
      </c>
      <c r="FK16" s="97" t="str">
        <f t="shared" si="46"/>
        <v/>
      </c>
      <c r="FL16" s="97" t="str">
        <f t="shared" si="47"/>
        <v/>
      </c>
      <c r="FM16" s="97" t="str">
        <f t="shared" si="48"/>
        <v/>
      </c>
      <c r="FN16" s="169" t="str">
        <f t="shared" si="49"/>
        <v/>
      </c>
      <c r="FO16" s="65" t="str">
        <f t="shared" si="50"/>
        <v/>
      </c>
      <c r="FP16" s="170" t="str">
        <f t="shared" si="51"/>
        <v/>
      </c>
      <c r="FQ16" s="65"/>
      <c r="FR16" s="12" t="s">
        <v>745</v>
      </c>
      <c r="FS16" s="65">
        <f t="shared" si="54"/>
        <v>0</v>
      </c>
      <c r="FT16" s="65"/>
      <c r="FU16" s="65"/>
      <c r="FX16" s="29"/>
      <c r="GD16" s="82" t="s">
        <v>549</v>
      </c>
      <c r="GE16" s="124" t="str">
        <f>IF(AND($B$8="Bass",$G$8&lt;&gt;""),$G$8,"")</f>
        <v/>
      </c>
      <c r="GF16" s="124" t="str">
        <f>IF(AND($B$9="Bass",$G$9&lt;&gt;""),$G$9,"")</f>
        <v/>
      </c>
      <c r="GG16" s="124" t="str">
        <f>IF(AND($B$10="Bass",$G$10&lt;&gt;""),$G$10,"")</f>
        <v/>
      </c>
      <c r="GH16" s="124" t="str">
        <f>IF(AND($B$11="Bass",$G$11&lt;&gt;""),$G$11,"")</f>
        <v/>
      </c>
      <c r="GI16" s="124" t="str">
        <f>IF(AND($B$12="Bass",$G$12&lt;&gt;""),$G$12,"")</f>
        <v/>
      </c>
      <c r="GJ16" s="124" t="str">
        <f>IF(AND($B$13="Bass",$G$13&lt;&gt;""),$G$13,"")</f>
        <v/>
      </c>
      <c r="GK16" s="124" t="str">
        <f>IF(AND($B$14="Bass",$G$14&lt;&gt;""),$G$14,"")</f>
        <v/>
      </c>
      <c r="GL16" s="124" t="str">
        <f>IF(AND($B$15="Bass",$G$15&lt;&gt;""),$G$15,"")</f>
        <v/>
      </c>
      <c r="GM16" s="124" t="str">
        <f>IF(AND($B$16="Bass",$G$16&lt;&gt;""),$G$16,"")</f>
        <v/>
      </c>
      <c r="GN16" s="124" t="str">
        <f>IF(AND($B$17="Bass",$G$17&lt;&gt;""),$G$17,"")</f>
        <v/>
      </c>
      <c r="GO16" s="124" t="str">
        <f>IF(AND($B$18="Bass",$G$18&lt;&gt;""),$G$18,"")</f>
        <v/>
      </c>
      <c r="GP16" s="124" t="str">
        <f>IF(AND($B$19="Bass",$G$19&lt;&gt;""),$G$19,"")</f>
        <v/>
      </c>
      <c r="GQ16" s="124" t="str">
        <f>IF(AND($B$20="Bass",$G$20&lt;&gt;""),$G$20,"")</f>
        <v/>
      </c>
    </row>
    <row r="17" spans="1:200" ht="15.75" x14ac:dyDescent="0.25">
      <c r="A17" s="197">
        <v>1</v>
      </c>
      <c r="B17" s="198"/>
      <c r="C17" s="198"/>
      <c r="D17" s="360" t="str">
        <f t="shared" si="14"/>
        <v/>
      </c>
      <c r="E17" s="198"/>
      <c r="F17" s="360" t="str">
        <f t="shared" si="15"/>
        <v/>
      </c>
      <c r="G17" s="199"/>
      <c r="H17" s="360" t="str">
        <f t="shared" si="16"/>
        <v/>
      </c>
      <c r="I17" s="360" t="str">
        <f t="shared" si="17"/>
        <v/>
      </c>
      <c r="J17" s="360" t="str">
        <f t="shared" si="18"/>
        <v/>
      </c>
      <c r="K17" s="97" t="str">
        <f t="shared" si="19"/>
        <v/>
      </c>
      <c r="L17" s="360">
        <f t="shared" si="20"/>
        <v>0</v>
      </c>
      <c r="M17" s="296"/>
      <c r="P17" s="311">
        <f t="shared" si="62"/>
        <v>0</v>
      </c>
      <c r="Q17" s="311">
        <f t="shared" si="55"/>
        <v>0</v>
      </c>
      <c r="R17" s="48"/>
      <c r="S17" s="303">
        <f t="shared" si="22"/>
        <v>0</v>
      </c>
      <c r="T17" s="303">
        <f t="shared" si="23"/>
        <v>0</v>
      </c>
      <c r="U17" s="303">
        <f t="shared" si="24"/>
        <v>0</v>
      </c>
      <c r="V17" s="303">
        <f t="shared" si="25"/>
        <v>0</v>
      </c>
      <c r="W17" s="303" t="e">
        <f t="shared" si="26"/>
        <v>#DIV/0!</v>
      </c>
      <c r="X17" s="66" t="e">
        <f t="shared" ca="1" si="27"/>
        <v>#N/A</v>
      </c>
      <c r="Y17" s="24" t="e">
        <f ca="1">IF($X$5=17,0,1)</f>
        <v>#N/A</v>
      </c>
      <c r="AA17" s="177" t="e">
        <f t="shared" si="28"/>
        <v>#N/A</v>
      </c>
      <c r="AE17" s="6" t="s">
        <v>2</v>
      </c>
      <c r="AF17" s="6"/>
      <c r="AG17" s="144" t="s">
        <v>439</v>
      </c>
      <c r="AH17" s="146" t="s">
        <v>815</v>
      </c>
      <c r="AI17" s="45" t="s">
        <v>410</v>
      </c>
      <c r="AJ17" s="147" t="s">
        <v>620</v>
      </c>
      <c r="AK17" s="148" t="s">
        <v>439</v>
      </c>
      <c r="AL17" s="28"/>
      <c r="AM17" s="28" t="s">
        <v>1202</v>
      </c>
      <c r="AN17" s="28"/>
      <c r="AO17" s="28"/>
      <c r="AP17" s="28"/>
      <c r="AQ17" s="28"/>
      <c r="AR17" s="28"/>
      <c r="AS17" s="28"/>
      <c r="AT17" s="1" t="s">
        <v>986</v>
      </c>
      <c r="AU17" s="205" t="s">
        <v>444</v>
      </c>
      <c r="AV17" s="206" t="s">
        <v>444</v>
      </c>
      <c r="AW17" s="9" t="s">
        <v>479</v>
      </c>
      <c r="AX17" s="206" t="s">
        <v>444</v>
      </c>
      <c r="BA17" s="12" t="s">
        <v>38</v>
      </c>
      <c r="BB17" s="12"/>
      <c r="BC17" s="13" t="str">
        <f t="shared" si="8"/>
        <v>Classic Maple 16x24 Bass Drum</v>
      </c>
      <c r="BD17" s="12" t="s">
        <v>38</v>
      </c>
      <c r="BE17" s="101"/>
      <c r="BG17" s="13" t="str">
        <f t="shared" si="56"/>
        <v>Legacy Maple 14x24 Bass Drum</v>
      </c>
      <c r="BH17" s="12" t="s">
        <v>37</v>
      </c>
      <c r="BI17" s="98"/>
      <c r="BK17" s="13" t="str">
        <f t="shared" si="57"/>
        <v>Legacy Mahogany 14x24 Bass Drum</v>
      </c>
      <c r="BL17" s="12" t="s">
        <v>37</v>
      </c>
      <c r="BM17" s="98"/>
      <c r="BN17" s="16"/>
      <c r="BO17" s="13" t="str">
        <f t="shared" si="58"/>
        <v>Legacy Exotic 14x24 Bass Drum</v>
      </c>
      <c r="BP17" s="12" t="s">
        <v>37</v>
      </c>
      <c r="BQ17" s="94"/>
      <c r="BR17" s="40" t="s">
        <v>697</v>
      </c>
      <c r="BS17" s="12" t="s">
        <v>38</v>
      </c>
      <c r="BT17" s="238"/>
      <c r="BU17" s="239" t="s">
        <v>37</v>
      </c>
      <c r="BV17" s="240" t="s">
        <v>696</v>
      </c>
      <c r="BW17" s="241">
        <f t="shared" si="60"/>
        <v>1794</v>
      </c>
      <c r="BX17" s="241">
        <f t="shared" si="60"/>
        <v>2719</v>
      </c>
      <c r="BY17" s="241">
        <f t="shared" si="60"/>
        <v>2719</v>
      </c>
      <c r="BZ17" s="241">
        <f t="shared" si="60"/>
        <v>2814</v>
      </c>
      <c r="CA17" s="241">
        <f t="shared" si="60"/>
        <v>1680</v>
      </c>
      <c r="CB17" s="242"/>
      <c r="CC17" s="243" t="s">
        <v>1020</v>
      </c>
      <c r="CD17" s="313">
        <v>135</v>
      </c>
      <c r="CE17" s="242"/>
      <c r="CF17" s="239" t="str">
        <f t="shared" si="59"/>
        <v>14x24 Bass Drum</v>
      </c>
      <c r="CG17" s="130" t="s">
        <v>129</v>
      </c>
      <c r="CH17" s="130" t="s">
        <v>191</v>
      </c>
      <c r="CI17" s="130" t="s">
        <v>249</v>
      </c>
      <c r="CJ17" s="130" t="s">
        <v>307</v>
      </c>
      <c r="CK17" s="130" t="s">
        <v>772</v>
      </c>
      <c r="CL17" s="94"/>
      <c r="CM17" s="288" t="s">
        <v>19</v>
      </c>
      <c r="CN17" s="27" t="str">
        <f t="shared" si="3"/>
        <v>Bass.16x26 Bass Drum</v>
      </c>
      <c r="CO17" s="12" t="s">
        <v>43</v>
      </c>
      <c r="CP17" s="93" t="str">
        <f t="shared" si="4"/>
        <v>MLLCLL</v>
      </c>
      <c r="CQ17" s="285" t="s">
        <v>831</v>
      </c>
      <c r="CR17" s="285" t="s">
        <v>829</v>
      </c>
      <c r="CS17" s="285" t="s">
        <v>731</v>
      </c>
      <c r="CT17" s="285"/>
      <c r="CU17" s="285"/>
      <c r="CV17" s="285"/>
      <c r="CW17" s="285"/>
      <c r="CX17" s="285"/>
      <c r="CY17" s="24">
        <f t="shared" si="5"/>
        <v>0</v>
      </c>
      <c r="CZ17" s="42" t="s">
        <v>856</v>
      </c>
      <c r="DA17" s="80"/>
      <c r="DB17" s="107"/>
      <c r="DC17" s="8" t="s">
        <v>846</v>
      </c>
      <c r="DD17" s="90">
        <f t="shared" si="63"/>
        <v>0</v>
      </c>
      <c r="DE17" s="97" t="s">
        <v>842</v>
      </c>
      <c r="DF17" s="285">
        <f t="shared" si="10"/>
        <v>0</v>
      </c>
      <c r="DH17" s="29" t="s">
        <v>374</v>
      </c>
      <c r="DI17" s="90">
        <f t="shared" si="64"/>
        <v>30</v>
      </c>
      <c r="DJ17" s="97" t="s">
        <v>398</v>
      </c>
      <c r="DK17" s="24">
        <v>9</v>
      </c>
      <c r="DL17" s="24"/>
      <c r="DM17" s="24">
        <f>+DM6+DM7+DM12</f>
        <v>0</v>
      </c>
      <c r="DN17" s="27" t="s">
        <v>952</v>
      </c>
      <c r="DO17" s="45"/>
      <c r="DP17" s="45"/>
      <c r="DQ17" s="41"/>
      <c r="DR17" s="41"/>
      <c r="DS17" s="41"/>
      <c r="DT17" s="41"/>
      <c r="DU17" s="41"/>
      <c r="DV17" s="41"/>
      <c r="DW17" s="41"/>
      <c r="DX17" s="41"/>
      <c r="DY17" s="41"/>
      <c r="DZ17" s="41"/>
      <c r="EA17" s="41"/>
      <c r="EB17" s="41"/>
      <c r="ED17" s="78" t="s">
        <v>892</v>
      </c>
      <c r="EE17" s="41">
        <v>0</v>
      </c>
      <c r="EF17" s="45"/>
      <c r="EH17" s="114">
        <f t="shared" si="29"/>
        <v>0</v>
      </c>
      <c r="EI17" s="46"/>
      <c r="EJ17" s="32"/>
      <c r="EK17" s="35">
        <v>10</v>
      </c>
      <c r="EL17" s="178">
        <f t="shared" si="52"/>
        <v>0</v>
      </c>
      <c r="EM17" s="64" t="str">
        <f t="shared" si="30"/>
        <v/>
      </c>
      <c r="EN17" s="64" t="str">
        <f t="shared" si="61"/>
        <v/>
      </c>
      <c r="EO17" s="64" t="str">
        <f t="shared" si="53"/>
        <v>Double</v>
      </c>
      <c r="EP17" s="19"/>
      <c r="EQ17" s="140"/>
      <c r="ER17" s="133"/>
      <c r="EU17" s="24">
        <f t="shared" si="32"/>
        <v>0</v>
      </c>
      <c r="EV17" s="60">
        <v>17</v>
      </c>
      <c r="EW17" s="64">
        <f t="shared" si="33"/>
        <v>1</v>
      </c>
      <c r="EX17" s="19">
        <f t="shared" si="34"/>
        <v>0</v>
      </c>
      <c r="EY17" s="19">
        <f t="shared" si="35"/>
        <v>0</v>
      </c>
      <c r="EZ17" s="55" t="str">
        <f t="shared" si="36"/>
        <v/>
      </c>
      <c r="FA17" s="19">
        <f t="shared" si="37"/>
        <v>0</v>
      </c>
      <c r="FB17" s="55" t="str">
        <f t="shared" si="38"/>
        <v/>
      </c>
      <c r="FC17" s="56">
        <f t="shared" si="39"/>
        <v>0</v>
      </c>
      <c r="FD17" s="139" t="str">
        <f t="shared" si="40"/>
        <v xml:space="preserve"> </v>
      </c>
      <c r="FF17" s="66">
        <f t="shared" ca="1" si="41"/>
        <v>0</v>
      </c>
      <c r="FG17" s="66" t="str">
        <f t="shared" ca="1" si="42"/>
        <v/>
      </c>
      <c r="FH17" s="66" t="str">
        <f t="shared" ca="1" si="43"/>
        <v/>
      </c>
      <c r="FI17" s="97" t="str">
        <f t="shared" si="44"/>
        <v/>
      </c>
      <c r="FJ17" s="97" t="str">
        <f t="shared" si="45"/>
        <v/>
      </c>
      <c r="FK17" s="97" t="str">
        <f t="shared" si="46"/>
        <v/>
      </c>
      <c r="FL17" s="97" t="str">
        <f t="shared" si="47"/>
        <v/>
      </c>
      <c r="FM17" s="97" t="str">
        <f t="shared" si="48"/>
        <v/>
      </c>
      <c r="FN17" s="169" t="str">
        <f t="shared" si="49"/>
        <v/>
      </c>
      <c r="FO17" s="65" t="str">
        <f t="shared" si="50"/>
        <v/>
      </c>
      <c r="FP17" s="170" t="str">
        <f t="shared" si="51"/>
        <v/>
      </c>
      <c r="FQ17" s="65"/>
      <c r="FR17" s="12" t="s">
        <v>89</v>
      </c>
      <c r="FS17" s="65">
        <f t="shared" si="54"/>
        <v>0</v>
      </c>
      <c r="FT17" s="65"/>
      <c r="FU17" s="65"/>
      <c r="GD17" s="82" t="s">
        <v>408</v>
      </c>
      <c r="GE17" s="123" t="str">
        <f>IF(AND($B$8="Bass",$G$24 &lt;&gt;""), $G$24, IF($B$8="Bass", $E$24,""))</f>
        <v/>
      </c>
      <c r="GF17" s="123" t="str">
        <f>IF(AND($B$9="Bass",$G$24 &lt;&gt;""), $G$24, IF($B$9="Bass", $E$24,""))</f>
        <v/>
      </c>
      <c r="GG17" s="123" t="str">
        <f>IF(AND($B$10="Bass",$G$24 &lt;&gt;""), $G$24, IF($B$10="Bass", $E$24,""))</f>
        <v/>
      </c>
      <c r="GH17" s="123" t="str">
        <f>IF(AND($B$11="Bass",$G$24 &lt;&gt;""), $G$24, IF($B$11="Bass", $E$24,""))</f>
        <v/>
      </c>
      <c r="GI17" s="123" t="str">
        <f>IF(AND($B$12="Bass",$G$24 &lt;&gt;""), $G$24, IF($B$12="Bass", $E$24,""))</f>
        <v/>
      </c>
      <c r="GJ17" s="123" t="str">
        <f>IF(AND($B$13="Bass",$G$24 &lt;&gt;""), $G$24, IF($B$13="Bass", $E$24,""))</f>
        <v/>
      </c>
      <c r="GK17" s="123" t="str">
        <f>IF(AND($B$14="Bass",$G$24 &lt;&gt;""), $G$24, IF($B$14="Bass", $E$24,""))</f>
        <v/>
      </c>
      <c r="GL17" s="86" t="str">
        <f>IF(AND($B$15="Bass",$G$24 &lt;&gt;""), $G$24, IF($B$15="Bass", $E$24,""))</f>
        <v/>
      </c>
      <c r="GM17" s="86" t="str">
        <f>IF(AND($B$16="Bass",$G$24 &lt;&gt;""), $G$24, IF($B$16="Bass", $E$24,""))</f>
        <v/>
      </c>
      <c r="GN17" s="86" t="str">
        <f>IF(AND($B$17="Bass",$G$24 &lt;&gt;""), $G$24, IF($B$17="Bass", $E$24,""))</f>
        <v/>
      </c>
      <c r="GO17" s="86" t="str">
        <f>IF(AND($B$18="Bass",$G$24 &lt;&gt;""), $G$24, IF($B$18="Bass", $E$24,""))</f>
        <v/>
      </c>
      <c r="GP17" s="86" t="str">
        <f>IF(AND($B$19="Bass",$G$24 &lt;&gt;""), $G$24, IF($B$19="Bass", $E$24,""))</f>
        <v/>
      </c>
      <c r="GQ17" s="86" t="str">
        <f>IF(AND($B$20="Bass",$G$24 &lt;&gt;""), $G$24, IF($B$20="Bass", $E$24,""))</f>
        <v/>
      </c>
    </row>
    <row r="18" spans="1:200" ht="15.75" x14ac:dyDescent="0.25">
      <c r="A18" s="197">
        <v>1</v>
      </c>
      <c r="B18" s="198"/>
      <c r="C18" s="198"/>
      <c r="D18" s="360" t="str">
        <f t="shared" si="14"/>
        <v/>
      </c>
      <c r="E18" s="198"/>
      <c r="F18" s="360" t="str">
        <f t="shared" si="15"/>
        <v/>
      </c>
      <c r="G18" s="199"/>
      <c r="H18" s="360" t="str">
        <f t="shared" si="16"/>
        <v/>
      </c>
      <c r="I18" s="360" t="str">
        <f t="shared" si="17"/>
        <v/>
      </c>
      <c r="J18" s="360" t="str">
        <f t="shared" si="18"/>
        <v/>
      </c>
      <c r="K18" s="97" t="str">
        <f t="shared" si="19"/>
        <v/>
      </c>
      <c r="L18" s="360">
        <f t="shared" si="20"/>
        <v>0</v>
      </c>
      <c r="M18" s="296"/>
      <c r="P18" s="311">
        <f t="shared" si="62"/>
        <v>0</v>
      </c>
      <c r="Q18" s="311">
        <f t="shared" si="55"/>
        <v>0</v>
      </c>
      <c r="R18" s="48"/>
      <c r="S18" s="303">
        <f t="shared" si="22"/>
        <v>0</v>
      </c>
      <c r="T18" s="303">
        <f t="shared" si="23"/>
        <v>0</v>
      </c>
      <c r="U18" s="303">
        <f t="shared" si="24"/>
        <v>0</v>
      </c>
      <c r="V18" s="303">
        <f t="shared" si="25"/>
        <v>0</v>
      </c>
      <c r="W18" s="303" t="e">
        <f t="shared" si="26"/>
        <v>#DIV/0!</v>
      </c>
      <c r="X18" s="66" t="e">
        <f t="shared" ca="1" si="27"/>
        <v>#N/A</v>
      </c>
      <c r="Y18" s="24" t="e">
        <f ca="1">IF($X$5=18,0,1)</f>
        <v>#N/A</v>
      </c>
      <c r="AA18" s="177" t="e">
        <f t="shared" si="28"/>
        <v>#N/A</v>
      </c>
      <c r="AE18" t="s">
        <v>23</v>
      </c>
      <c r="AG18" s="144" t="s">
        <v>441</v>
      </c>
      <c r="AH18" s="146" t="s">
        <v>815</v>
      </c>
      <c r="AI18" s="45" t="s">
        <v>410</v>
      </c>
      <c r="AJ18" s="147" t="s">
        <v>620</v>
      </c>
      <c r="AK18" s="148" t="s">
        <v>441</v>
      </c>
      <c r="AL18" s="28"/>
      <c r="AM18" s="28"/>
      <c r="AN18" s="28"/>
      <c r="AO18" s="28"/>
      <c r="AP18" s="28"/>
      <c r="AQ18" s="28"/>
      <c r="AR18" s="28"/>
      <c r="AS18" s="28"/>
      <c r="AT18" s="1" t="s">
        <v>435</v>
      </c>
      <c r="AU18" s="205" t="s">
        <v>989</v>
      </c>
      <c r="AV18" s="206" t="s">
        <v>989</v>
      </c>
      <c r="AW18" s="10" t="s">
        <v>478</v>
      </c>
      <c r="AX18" s="2" t="s">
        <v>447</v>
      </c>
      <c r="BA18" s="12" t="s">
        <v>39</v>
      </c>
      <c r="BB18" s="12"/>
      <c r="BC18" s="13" t="str">
        <f t="shared" si="8"/>
        <v>Classic Maple 18x24 Bass Drum</v>
      </c>
      <c r="BD18" s="12" t="s">
        <v>39</v>
      </c>
      <c r="BE18" s="101"/>
      <c r="BG18" s="13" t="str">
        <f t="shared" si="56"/>
        <v>Legacy Maple 16x24 Bass Drum</v>
      </c>
      <c r="BH18" s="12" t="s">
        <v>38</v>
      </c>
      <c r="BI18" s="98"/>
      <c r="BK18" s="13" t="str">
        <f t="shared" si="57"/>
        <v>Legacy Mahogany 16x24 Bass Drum</v>
      </c>
      <c r="BL18" s="12" t="s">
        <v>38</v>
      </c>
      <c r="BM18" s="98"/>
      <c r="BN18" s="16"/>
      <c r="BO18" s="13" t="str">
        <f t="shared" si="58"/>
        <v>Legacy Exotic 16x24 Bass Drum</v>
      </c>
      <c r="BP18" s="12" t="s">
        <v>38</v>
      </c>
      <c r="BQ18" s="94"/>
      <c r="BR18" s="40" t="s">
        <v>698</v>
      </c>
      <c r="BS18" s="12" t="s">
        <v>39</v>
      </c>
      <c r="BT18" s="238"/>
      <c r="BU18" s="239" t="s">
        <v>38</v>
      </c>
      <c r="BV18" s="240" t="s">
        <v>697</v>
      </c>
      <c r="BW18" s="241">
        <f t="shared" si="60"/>
        <v>1794</v>
      </c>
      <c r="BX18" s="241">
        <f t="shared" si="60"/>
        <v>2719</v>
      </c>
      <c r="BY18" s="241">
        <f t="shared" si="60"/>
        <v>2719</v>
      </c>
      <c r="BZ18" s="241">
        <f t="shared" si="60"/>
        <v>2814</v>
      </c>
      <c r="CA18" s="241">
        <f t="shared" si="60"/>
        <v>1680</v>
      </c>
      <c r="CB18" s="242"/>
      <c r="CC18" s="243" t="s">
        <v>1021</v>
      </c>
      <c r="CD18" s="313">
        <v>135</v>
      </c>
      <c r="CE18" s="242"/>
      <c r="CF18" s="239" t="str">
        <f t="shared" si="59"/>
        <v>16x24 Bass Drum</v>
      </c>
      <c r="CG18" s="130" t="s">
        <v>130</v>
      </c>
      <c r="CH18" s="130" t="s">
        <v>192</v>
      </c>
      <c r="CI18" s="130" t="s">
        <v>250</v>
      </c>
      <c r="CJ18" s="130" t="s">
        <v>308</v>
      </c>
      <c r="CK18" s="130" t="s">
        <v>773</v>
      </c>
      <c r="CL18" s="94"/>
      <c r="CM18" s="288" t="s">
        <v>19</v>
      </c>
      <c r="CN18" s="27" t="str">
        <f t="shared" si="3"/>
        <v>Bass.18x20 Bass Drum</v>
      </c>
      <c r="CO18" s="12" t="s">
        <v>30</v>
      </c>
      <c r="CP18" s="93" t="str">
        <f t="shared" si="4"/>
        <v>MLLCLL</v>
      </c>
      <c r="CQ18" s="285" t="s">
        <v>831</v>
      </c>
      <c r="CR18" s="285" t="s">
        <v>829</v>
      </c>
      <c r="CS18" s="285" t="s">
        <v>731</v>
      </c>
      <c r="CT18" s="285"/>
      <c r="CU18" s="285"/>
      <c r="CV18" s="285"/>
      <c r="CW18" s="285"/>
      <c r="CX18" s="285"/>
      <c r="CY18" s="24">
        <f t="shared" si="5"/>
        <v>0</v>
      </c>
      <c r="CZ18" s="42" t="s">
        <v>856</v>
      </c>
      <c r="DA18" s="80"/>
      <c r="DB18" s="107"/>
      <c r="DC18" t="s">
        <v>368</v>
      </c>
      <c r="DD18" s="90">
        <f t="shared" si="63"/>
        <v>0</v>
      </c>
      <c r="DE18" s="97"/>
      <c r="DF18" s="285"/>
      <c r="DH18" s="29" t="s">
        <v>1134</v>
      </c>
      <c r="DI18" s="90">
        <f t="shared" si="64"/>
        <v>50</v>
      </c>
      <c r="DJ18" s="97" t="s">
        <v>386</v>
      </c>
      <c r="DK18" s="24">
        <v>9</v>
      </c>
      <c r="DL18" s="24"/>
      <c r="DM18" s="24"/>
      <c r="DN18" s="27"/>
      <c r="DO18" s="45"/>
      <c r="DP18" s="45"/>
      <c r="DQ18" s="41"/>
      <c r="DR18" s="41"/>
      <c r="DS18" s="41"/>
      <c r="DT18" s="41"/>
      <c r="DU18" s="41"/>
      <c r="DV18" s="41"/>
      <c r="DW18" s="41"/>
      <c r="DX18" s="41"/>
      <c r="DY18" s="41"/>
      <c r="DZ18" s="41"/>
      <c r="EA18" s="41"/>
      <c r="EB18" s="41"/>
      <c r="ED18" s="25" t="s">
        <v>893</v>
      </c>
      <c r="EE18" s="41">
        <v>0</v>
      </c>
      <c r="EF18" s="45"/>
      <c r="EH18" s="114">
        <f t="shared" si="29"/>
        <v>0</v>
      </c>
      <c r="EI18" s="46"/>
      <c r="EJ18" s="32"/>
      <c r="EK18" s="35">
        <v>11</v>
      </c>
      <c r="EL18" s="178">
        <f t="shared" si="52"/>
        <v>0</v>
      </c>
      <c r="EM18" s="64" t="str">
        <f t="shared" si="30"/>
        <v/>
      </c>
      <c r="EN18" s="64" t="str">
        <f t="shared" si="61"/>
        <v/>
      </c>
      <c r="EO18" s="64" t="str">
        <f t="shared" si="53"/>
        <v>Double</v>
      </c>
      <c r="EP18" s="19"/>
      <c r="EQ18" s="140"/>
      <c r="ER18" s="133"/>
      <c r="EU18" s="24">
        <f t="shared" si="32"/>
        <v>0</v>
      </c>
      <c r="EV18" s="60">
        <v>18</v>
      </c>
      <c r="EW18" s="64">
        <f t="shared" si="33"/>
        <v>1</v>
      </c>
      <c r="EX18" s="19">
        <f t="shared" si="34"/>
        <v>0</v>
      </c>
      <c r="EY18" s="19">
        <f t="shared" si="35"/>
        <v>0</v>
      </c>
      <c r="EZ18" s="55" t="str">
        <f t="shared" si="36"/>
        <v/>
      </c>
      <c r="FA18" s="19">
        <f t="shared" si="37"/>
        <v>0</v>
      </c>
      <c r="FB18" s="55" t="str">
        <f t="shared" si="38"/>
        <v/>
      </c>
      <c r="FC18" s="56">
        <f t="shared" si="39"/>
        <v>0</v>
      </c>
      <c r="FD18" s="139" t="str">
        <f t="shared" si="40"/>
        <v xml:space="preserve"> </v>
      </c>
      <c r="FF18" s="66">
        <f t="shared" ca="1" si="41"/>
        <v>0</v>
      </c>
      <c r="FG18" s="66" t="str">
        <f t="shared" ca="1" si="42"/>
        <v/>
      </c>
      <c r="FH18" s="66" t="str">
        <f t="shared" ca="1" si="43"/>
        <v/>
      </c>
      <c r="FI18" s="97" t="str">
        <f t="shared" si="44"/>
        <v/>
      </c>
      <c r="FJ18" s="97" t="str">
        <f t="shared" si="45"/>
        <v/>
      </c>
      <c r="FK18" s="97" t="str">
        <f t="shared" si="46"/>
        <v/>
      </c>
      <c r="FL18" s="97" t="str">
        <f t="shared" si="47"/>
        <v/>
      </c>
      <c r="FM18" s="97" t="str">
        <f t="shared" si="48"/>
        <v/>
      </c>
      <c r="FN18" s="169" t="str">
        <f t="shared" si="49"/>
        <v/>
      </c>
      <c r="FO18" s="65" t="str">
        <f t="shared" si="50"/>
        <v/>
      </c>
      <c r="FP18" s="170" t="str">
        <f t="shared" si="51"/>
        <v/>
      </c>
      <c r="FQ18" s="65"/>
      <c r="FR18" s="12" t="s">
        <v>90</v>
      </c>
      <c r="FS18" s="65">
        <f t="shared" si="54"/>
        <v>0</v>
      </c>
      <c r="FT18" s="65"/>
      <c r="FU18" s="65"/>
      <c r="GD18" s="82" t="s">
        <v>550</v>
      </c>
      <c r="GE18" s="123" t="str">
        <f>IF(AND($B$8="Bass",$G$28 &lt;&gt; ""),"P1216D Classic Brkt","")</f>
        <v/>
      </c>
      <c r="GF18" s="123" t="str">
        <f>IF(AND($B$9="Bass",$G$28 &lt;&gt; ""),"P1216D Classic Brkt","")</f>
        <v/>
      </c>
      <c r="GG18" s="123" t="str">
        <f>IF(AND($B$10="Bass",$G$28 &lt;&gt; ""),"P1216D Classic Brkt","")</f>
        <v/>
      </c>
      <c r="GH18" s="123" t="str">
        <f>IF(AND($B$11="Bass",$G$28 &lt;&gt; ""),"P1216D Classic Brkt","")</f>
        <v/>
      </c>
      <c r="GI18" s="123" t="str">
        <f>IF(AND($B$12="Bass",$G$28 &lt;&gt; ""),"P1216D Classic Brkt","")</f>
        <v/>
      </c>
      <c r="GJ18" s="123" t="str">
        <f>IF(AND($B$13="Bass",$G$28 &lt;&gt; ""),"P1216D Classic Brkt","")</f>
        <v/>
      </c>
      <c r="GK18" s="123" t="str">
        <f>IF(AND($B$14="Bass",$G$28 &lt;&gt; ""),"P1216D Classic Brkt","")</f>
        <v/>
      </c>
      <c r="GL18" s="123" t="str">
        <f>IF(AND($B$15="Bass",$G$28 &lt;&gt; ""),"P1216D Classic Brkt","")</f>
        <v/>
      </c>
      <c r="GM18" s="123" t="str">
        <f>IF(AND($B$16="Bass",$G$28 &lt;&gt; ""),"P1216D Classic Brkt","")</f>
        <v/>
      </c>
      <c r="GN18" s="123" t="str">
        <f>IF(AND($B$17="Bass",$G$28 &lt;&gt; ""),"P1216D Classic Brkt","")</f>
        <v/>
      </c>
      <c r="GO18" s="123" t="str">
        <f>IF(AND($B$18="Bass",$G$28 &lt;&gt; ""),"P1216D Classic Brkt","")</f>
        <v/>
      </c>
      <c r="GP18" s="123" t="str">
        <f>IF(AND($B$19="Bass",$G$28 &lt;&gt; ""),"P1216D Classic Brkt","")</f>
        <v/>
      </c>
      <c r="GQ18" s="123" t="str">
        <f>IF(AND($B$20="Bass",$G$28 &lt;&gt; ""),"P1216D Classic Brkt","")</f>
        <v/>
      </c>
    </row>
    <row r="19" spans="1:200" ht="15.75" x14ac:dyDescent="0.25">
      <c r="A19" s="197">
        <v>1</v>
      </c>
      <c r="B19" s="198"/>
      <c r="C19" s="198"/>
      <c r="D19" s="360" t="str">
        <f t="shared" si="14"/>
        <v/>
      </c>
      <c r="E19" s="198"/>
      <c r="F19" s="360" t="str">
        <f t="shared" si="15"/>
        <v/>
      </c>
      <c r="G19" s="199"/>
      <c r="H19" s="360" t="str">
        <f t="shared" si="16"/>
        <v/>
      </c>
      <c r="I19" s="360" t="str">
        <f t="shared" si="17"/>
        <v/>
      </c>
      <c r="J19" s="360" t="str">
        <f t="shared" si="18"/>
        <v/>
      </c>
      <c r="K19" s="97" t="str">
        <f t="shared" si="19"/>
        <v/>
      </c>
      <c r="L19" s="360">
        <f t="shared" si="20"/>
        <v>0</v>
      </c>
      <c r="M19" s="296"/>
      <c r="P19" s="311">
        <f t="shared" si="62"/>
        <v>0</v>
      </c>
      <c r="Q19" s="311">
        <f t="shared" si="55"/>
        <v>0</v>
      </c>
      <c r="R19" s="48"/>
      <c r="S19" s="303">
        <f t="shared" si="22"/>
        <v>0</v>
      </c>
      <c r="T19" s="303">
        <f t="shared" si="23"/>
        <v>0</v>
      </c>
      <c r="U19" s="303">
        <f t="shared" si="24"/>
        <v>0</v>
      </c>
      <c r="V19" s="303">
        <f t="shared" si="25"/>
        <v>0</v>
      </c>
      <c r="W19" s="303" t="e">
        <f t="shared" si="26"/>
        <v>#DIV/0!</v>
      </c>
      <c r="X19" s="66" t="e">
        <f t="shared" ca="1" si="27"/>
        <v>#N/A</v>
      </c>
      <c r="Y19" s="24" t="e">
        <f ca="1">IF($X$5=19,0,1)</f>
        <v>#N/A</v>
      </c>
      <c r="AA19" s="177" t="e">
        <f t="shared" si="28"/>
        <v>#N/A</v>
      </c>
      <c r="AE19" t="s">
        <v>604</v>
      </c>
      <c r="AG19" s="144" t="s">
        <v>442</v>
      </c>
      <c r="AH19" s="146" t="s">
        <v>815</v>
      </c>
      <c r="AI19" s="45" t="s">
        <v>410</v>
      </c>
      <c r="AJ19" s="147" t="s">
        <v>620</v>
      </c>
      <c r="AK19" s="148" t="s">
        <v>442</v>
      </c>
      <c r="AL19" s="28"/>
      <c r="AM19" s="131" t="s">
        <v>873</v>
      </c>
      <c r="AN19" s="132" t="e">
        <f>INDEX(AG:AH,MATCH(C3,AG:AG,0),2)</f>
        <v>#N/A</v>
      </c>
      <c r="AO19" s="28" t="s">
        <v>880</v>
      </c>
      <c r="AP19" s="28"/>
      <c r="AQ19" s="28"/>
      <c r="AR19" s="28"/>
      <c r="AS19" s="28"/>
      <c r="AT19" s="1" t="s">
        <v>993</v>
      </c>
      <c r="AU19" s="5" t="s">
        <v>447</v>
      </c>
      <c r="AV19" s="3" t="s">
        <v>447</v>
      </c>
      <c r="AW19" s="9" t="s">
        <v>466</v>
      </c>
      <c r="AX19" s="3" t="s">
        <v>448</v>
      </c>
      <c r="BA19" s="12" t="s">
        <v>40</v>
      </c>
      <c r="BB19" s="12"/>
      <c r="BC19" s="13" t="str">
        <f t="shared" si="8"/>
        <v>Classic Maple 20x24 Bass Drum</v>
      </c>
      <c r="BD19" s="12" t="s">
        <v>40</v>
      </c>
      <c r="BE19" s="101"/>
      <c r="BG19" s="13" t="str">
        <f t="shared" si="56"/>
        <v>Legacy Maple 18x24 Bass Drum</v>
      </c>
      <c r="BH19" s="12" t="s">
        <v>39</v>
      </c>
      <c r="BI19" s="98"/>
      <c r="BK19" s="13" t="str">
        <f t="shared" si="57"/>
        <v>Legacy Mahogany 18x24 Bass Drum</v>
      </c>
      <c r="BL19" s="12" t="s">
        <v>39</v>
      </c>
      <c r="BM19" s="98"/>
      <c r="BN19" s="16"/>
      <c r="BO19" s="13" t="str">
        <f t="shared" si="58"/>
        <v>Legacy Exotic 18x24 Bass Drum</v>
      </c>
      <c r="BP19" s="12" t="s">
        <v>39</v>
      </c>
      <c r="BQ19" s="95"/>
      <c r="BR19" s="40" t="s">
        <v>699</v>
      </c>
      <c r="BS19" s="12" t="s">
        <v>40</v>
      </c>
      <c r="BT19" s="238"/>
      <c r="BU19" s="239" t="s">
        <v>39</v>
      </c>
      <c r="BV19" s="240" t="s">
        <v>698</v>
      </c>
      <c r="BW19" s="241">
        <f t="shared" si="60"/>
        <v>1794</v>
      </c>
      <c r="BX19" s="241">
        <f t="shared" si="60"/>
        <v>2719</v>
      </c>
      <c r="BY19" s="241">
        <f t="shared" si="60"/>
        <v>2719</v>
      </c>
      <c r="BZ19" s="241">
        <f t="shared" si="60"/>
        <v>2814</v>
      </c>
      <c r="CA19" s="241">
        <f t="shared" si="60"/>
        <v>1680</v>
      </c>
      <c r="CB19" s="241"/>
      <c r="CC19" s="243" t="s">
        <v>1022</v>
      </c>
      <c r="CD19" s="241"/>
      <c r="CE19" s="241"/>
      <c r="CF19" s="239" t="str">
        <f t="shared" si="59"/>
        <v>18x24 Bass Drum</v>
      </c>
      <c r="CG19" s="130" t="s">
        <v>131</v>
      </c>
      <c r="CH19" s="130" t="s">
        <v>193</v>
      </c>
      <c r="CI19" s="130" t="s">
        <v>251</v>
      </c>
      <c r="CJ19" s="130" t="s">
        <v>309</v>
      </c>
      <c r="CK19" s="130" t="s">
        <v>774</v>
      </c>
      <c r="CL19" s="95"/>
      <c r="CM19" s="288" t="s">
        <v>19</v>
      </c>
      <c r="CN19" s="27" t="str">
        <f t="shared" si="3"/>
        <v>Bass.18x22 Bass Drum</v>
      </c>
      <c r="CO19" s="12" t="s">
        <v>34</v>
      </c>
      <c r="CP19" s="93" t="str">
        <f t="shared" si="4"/>
        <v>MLLCLL</v>
      </c>
      <c r="CQ19" s="285" t="s">
        <v>831</v>
      </c>
      <c r="CR19" s="285" t="s">
        <v>829</v>
      </c>
      <c r="CS19" s="285" t="s">
        <v>731</v>
      </c>
      <c r="CT19" s="285"/>
      <c r="CU19" s="285"/>
      <c r="CV19" s="285"/>
      <c r="CW19" s="285"/>
      <c r="CX19" s="285"/>
      <c r="CY19" s="24">
        <f t="shared" si="5"/>
        <v>0</v>
      </c>
      <c r="CZ19" s="42" t="s">
        <v>856</v>
      </c>
      <c r="DA19" s="80"/>
      <c r="DB19" s="107"/>
      <c r="DC19" t="s">
        <v>369</v>
      </c>
      <c r="DD19" s="90">
        <f t="shared" si="63"/>
        <v>0</v>
      </c>
      <c r="DE19" s="97"/>
      <c r="DH19" s="29" t="s">
        <v>376</v>
      </c>
      <c r="DI19" s="90">
        <f t="shared" si="64"/>
        <v>60</v>
      </c>
      <c r="DJ19" s="97" t="s">
        <v>400</v>
      </c>
      <c r="DK19" s="24">
        <v>12</v>
      </c>
      <c r="DL19" s="24"/>
      <c r="DM19" s="24"/>
      <c r="DN19" s="187" t="str">
        <f>IF(DM17=0,"Shell_Mount","No_Shell_Mount")</f>
        <v>Shell_Mount</v>
      </c>
      <c r="DO19" s="45"/>
      <c r="DP19" s="45"/>
      <c r="DQ19" s="41"/>
      <c r="DR19" s="41"/>
      <c r="DS19" s="41"/>
      <c r="DT19" s="41"/>
      <c r="DU19" s="41"/>
      <c r="DV19" s="41"/>
      <c r="DW19" s="41"/>
      <c r="DX19" s="41"/>
      <c r="DY19" s="41"/>
      <c r="DZ19" s="41"/>
      <c r="EA19" s="41"/>
      <c r="EB19" s="41"/>
      <c r="ED19" s="25" t="s">
        <v>894</v>
      </c>
      <c r="EE19" s="41">
        <v>50</v>
      </c>
      <c r="EF19" s="45"/>
      <c r="EH19" s="114">
        <f t="shared" si="29"/>
        <v>0</v>
      </c>
      <c r="EI19" s="46"/>
      <c r="EJ19" s="32"/>
      <c r="EK19" s="35">
        <v>12</v>
      </c>
      <c r="EL19" s="178">
        <f t="shared" si="52"/>
        <v>0</v>
      </c>
      <c r="EM19" s="64" t="str">
        <f t="shared" si="30"/>
        <v/>
      </c>
      <c r="EN19" s="64" t="str">
        <f t="shared" si="61"/>
        <v/>
      </c>
      <c r="EO19" s="64" t="str">
        <f t="shared" si="53"/>
        <v>Double</v>
      </c>
      <c r="EU19" s="24">
        <f t="shared" si="32"/>
        <v>0</v>
      </c>
      <c r="EV19" s="60">
        <v>19</v>
      </c>
      <c r="EW19" s="64">
        <f t="shared" si="33"/>
        <v>1</v>
      </c>
      <c r="EX19" s="19">
        <f t="shared" si="34"/>
        <v>0</v>
      </c>
      <c r="EY19" s="19">
        <f t="shared" si="35"/>
        <v>0</v>
      </c>
      <c r="EZ19" s="55" t="str">
        <f t="shared" si="36"/>
        <v/>
      </c>
      <c r="FA19" s="19">
        <f t="shared" si="37"/>
        <v>0</v>
      </c>
      <c r="FB19" s="55" t="str">
        <f t="shared" si="38"/>
        <v/>
      </c>
      <c r="FC19" s="56">
        <f t="shared" si="39"/>
        <v>0</v>
      </c>
      <c r="FD19" s="139" t="str">
        <f t="shared" si="40"/>
        <v xml:space="preserve"> </v>
      </c>
      <c r="FF19" s="66">
        <f t="shared" ca="1" si="41"/>
        <v>0</v>
      </c>
      <c r="FG19" s="66" t="str">
        <f t="shared" ca="1" si="42"/>
        <v/>
      </c>
      <c r="FH19" s="66" t="str">
        <f t="shared" ca="1" si="43"/>
        <v/>
      </c>
      <c r="FI19" s="97" t="str">
        <f t="shared" si="44"/>
        <v/>
      </c>
      <c r="FJ19" s="97" t="str">
        <f t="shared" si="45"/>
        <v/>
      </c>
      <c r="FK19" s="97" t="str">
        <f t="shared" si="46"/>
        <v/>
      </c>
      <c r="FL19" s="97" t="str">
        <f t="shared" si="47"/>
        <v/>
      </c>
      <c r="FM19" s="97" t="str">
        <f t="shared" si="48"/>
        <v/>
      </c>
      <c r="FN19" s="169" t="str">
        <f t="shared" si="49"/>
        <v/>
      </c>
      <c r="FO19" s="65" t="str">
        <f t="shared" si="50"/>
        <v/>
      </c>
      <c r="FP19" s="170" t="str">
        <f t="shared" si="51"/>
        <v/>
      </c>
      <c r="FQ19" s="65"/>
      <c r="FR19" s="44" t="s">
        <v>1259</v>
      </c>
      <c r="FS19" s="350">
        <f>SUM(FS9:FS18)</f>
        <v>0</v>
      </c>
      <c r="FT19" s="65"/>
      <c r="FU19" s="65"/>
      <c r="GD19" s="161" t="s">
        <v>918</v>
      </c>
      <c r="GE19" s="124" t="str">
        <f>IF(AND($B$8="Bass",$G$28 &lt;&gt;""), $G$28, IF($B$8="Bass", $E$28,""))</f>
        <v/>
      </c>
      <c r="GF19" s="124" t="str">
        <f>IF(AND($B$9="Bass",$G$28 &lt;&gt;""), $G$28, IF($B$9="Bass", $E$28,""))</f>
        <v/>
      </c>
      <c r="GG19" s="124" t="str">
        <f>IF(AND($B$10="Bass",$G$28 &lt;&gt;""), $G$28, IF($B$10="Bass", $E$28,""))</f>
        <v/>
      </c>
      <c r="GH19" s="124" t="str">
        <f>IF(AND($B$11="Bass",$G$28 &lt;&gt;""), $G$28, IF($B$11="Bass", $E$28,""))</f>
        <v/>
      </c>
      <c r="GI19" s="124" t="str">
        <f>IF(AND($B$12="Bass",$G$28 &lt;&gt;""), $G$28, IF($B$12="Bass", $E$28,""))</f>
        <v/>
      </c>
      <c r="GJ19" s="124" t="str">
        <f>IF(AND($B$13="Bass",$G$28 &lt;&gt;""), $G$28, IF($B$13="Bass", $E$28,""))</f>
        <v/>
      </c>
      <c r="GK19" s="124" t="str">
        <f>IF(AND($B$14="Bass",$G$28 &lt;&gt;""), $G$28, IF($B$14="Bass", $E$28,""))</f>
        <v/>
      </c>
      <c r="GL19" s="88" t="str">
        <f>IF(AND($B$15="Bass",$G$28 &lt;&gt;""), $G$28, IF($B$15="Bass", $E$28,""))</f>
        <v/>
      </c>
      <c r="GM19" s="88" t="str">
        <f>IF(AND($B$16="Bass",$G$28 &lt;&gt;""), $G$28, IF($B$16="Bass", $E$28,""))</f>
        <v/>
      </c>
      <c r="GN19" s="88" t="str">
        <f>IF(AND($B$17="Bass",$G$28 &lt;&gt;""), $G$28, IF($B$17="Bass", $E$28,""))</f>
        <v/>
      </c>
      <c r="GO19" s="88" t="str">
        <f>IF(AND($B$18="Bass",$G$28 &lt;&gt;""), $G$28, IF($B$18="Bass", $E$28,""))</f>
        <v/>
      </c>
      <c r="GP19" s="88" t="str">
        <f>IF(AND($B$19="Bass",$G$28 &lt;&gt;""), $G$28, IF($B$19="Bass", $E$28,""))</f>
        <v/>
      </c>
      <c r="GQ19" s="88" t="str">
        <f>IF(AND($B$20="Bass",$G$28 &lt;&gt;""), $G$28, IF($B$20="Bass", $E$28,""))</f>
        <v/>
      </c>
    </row>
    <row r="20" spans="1:200" ht="15.75" x14ac:dyDescent="0.25">
      <c r="A20" s="197">
        <v>1</v>
      </c>
      <c r="B20" s="198"/>
      <c r="C20" s="198"/>
      <c r="D20" s="360" t="str">
        <f t="shared" si="14"/>
        <v/>
      </c>
      <c r="E20" s="198"/>
      <c r="F20" s="360" t="str">
        <f t="shared" si="15"/>
        <v/>
      </c>
      <c r="G20" s="199"/>
      <c r="H20" s="295" t="str">
        <f t="shared" si="16"/>
        <v/>
      </c>
      <c r="I20" s="295" t="str">
        <f t="shared" si="17"/>
        <v/>
      </c>
      <c r="J20" s="295" t="str">
        <f t="shared" si="18"/>
        <v/>
      </c>
      <c r="K20" s="97" t="str">
        <f t="shared" si="19"/>
        <v/>
      </c>
      <c r="L20" s="360">
        <f t="shared" si="20"/>
        <v>0</v>
      </c>
      <c r="M20" s="296"/>
      <c r="P20" s="311">
        <f t="shared" si="62"/>
        <v>0</v>
      </c>
      <c r="Q20" s="311">
        <f t="shared" si="55"/>
        <v>0</v>
      </c>
      <c r="R20" s="48"/>
      <c r="S20" s="303">
        <f t="shared" si="22"/>
        <v>0</v>
      </c>
      <c r="T20" s="303">
        <f t="shared" si="23"/>
        <v>0</v>
      </c>
      <c r="U20" s="303">
        <f t="shared" si="24"/>
        <v>0</v>
      </c>
      <c r="V20" s="303">
        <f t="shared" si="25"/>
        <v>0</v>
      </c>
      <c r="W20" s="303" t="e">
        <f t="shared" si="26"/>
        <v>#DIV/0!</v>
      </c>
      <c r="X20" s="66" t="e">
        <f t="shared" ca="1" si="27"/>
        <v>#N/A</v>
      </c>
      <c r="Y20" s="24" t="e">
        <f ca="1">IF($X$5=20,0,1)</f>
        <v>#N/A</v>
      </c>
      <c r="AA20" s="177" t="e">
        <f t="shared" si="28"/>
        <v>#N/A</v>
      </c>
      <c r="AE20" t="s">
        <v>1131</v>
      </c>
      <c r="AG20" s="144" t="s">
        <v>988</v>
      </c>
      <c r="AH20" s="146" t="s">
        <v>815</v>
      </c>
      <c r="AI20" s="45" t="s">
        <v>410</v>
      </c>
      <c r="AJ20" s="147" t="s">
        <v>620</v>
      </c>
      <c r="AK20" s="148" t="s">
        <v>988</v>
      </c>
      <c r="AL20" s="28"/>
      <c r="AM20" s="28"/>
      <c r="AN20" s="28"/>
      <c r="AO20" s="28"/>
      <c r="AP20" s="28"/>
      <c r="AQ20" s="28"/>
      <c r="AR20" s="28"/>
      <c r="AS20" s="28"/>
      <c r="AT20" s="1" t="s">
        <v>475</v>
      </c>
      <c r="AU20" s="5" t="s">
        <v>448</v>
      </c>
      <c r="AV20" s="3" t="s">
        <v>448</v>
      </c>
      <c r="AW20" s="9" t="s">
        <v>467</v>
      </c>
      <c r="AX20" s="3" t="s">
        <v>990</v>
      </c>
      <c r="BA20" s="12" t="s">
        <v>41</v>
      </c>
      <c r="BB20" s="12"/>
      <c r="BC20" s="13" t="str">
        <f t="shared" si="8"/>
        <v>Classic Maple 12x26 Bass Drum</v>
      </c>
      <c r="BD20" s="12" t="s">
        <v>41</v>
      </c>
      <c r="BE20" s="101"/>
      <c r="BG20" s="13" t="str">
        <f t="shared" si="56"/>
        <v>Legacy Maple 20x24 Bass Drum</v>
      </c>
      <c r="BH20" s="12" t="s">
        <v>40</v>
      </c>
      <c r="BI20" s="99"/>
      <c r="BJ20" s="19"/>
      <c r="BK20" s="18" t="str">
        <f t="shared" si="57"/>
        <v>Legacy Mahogany 20x24 Bass Drum</v>
      </c>
      <c r="BL20" s="12" t="s">
        <v>40</v>
      </c>
      <c r="BM20" s="99"/>
      <c r="BN20" s="17"/>
      <c r="BO20" s="18" t="str">
        <f t="shared" si="58"/>
        <v>Legacy Exotic 20x24 Bass Drum</v>
      </c>
      <c r="BP20" s="12" t="s">
        <v>40</v>
      </c>
      <c r="BQ20" s="95"/>
      <c r="BR20" s="40" t="s">
        <v>700</v>
      </c>
      <c r="BS20" s="12" t="s">
        <v>41</v>
      </c>
      <c r="BT20" s="238"/>
      <c r="BU20" s="239" t="s">
        <v>40</v>
      </c>
      <c r="BV20" s="240" t="s">
        <v>699</v>
      </c>
      <c r="BW20" s="241">
        <f t="shared" si="60"/>
        <v>1900</v>
      </c>
      <c r="BX20" s="241">
        <f t="shared" si="60"/>
        <v>2719</v>
      </c>
      <c r="BY20" s="241">
        <f t="shared" si="60"/>
        <v>2719</v>
      </c>
      <c r="BZ20" s="241">
        <f t="shared" si="60"/>
        <v>2814</v>
      </c>
      <c r="CA20" s="241">
        <f t="shared" si="60"/>
        <v>1677</v>
      </c>
      <c r="CB20" s="241"/>
      <c r="CC20" s="243" t="s">
        <v>1023</v>
      </c>
      <c r="CD20" s="313">
        <v>0</v>
      </c>
      <c r="CE20" s="242"/>
      <c r="CF20" s="239" t="str">
        <f t="shared" si="59"/>
        <v>20x24 Bass Drum</v>
      </c>
      <c r="CG20" s="130" t="s">
        <v>132</v>
      </c>
      <c r="CH20" s="130" t="s">
        <v>194</v>
      </c>
      <c r="CI20" s="130" t="s">
        <v>252</v>
      </c>
      <c r="CJ20" s="130" t="s">
        <v>310</v>
      </c>
      <c r="CK20" s="130" t="s">
        <v>775</v>
      </c>
      <c r="CL20" s="95"/>
      <c r="CM20" s="288" t="s">
        <v>19</v>
      </c>
      <c r="CN20" s="27" t="str">
        <f t="shared" si="3"/>
        <v>Bass.18x24 Bass Drum</v>
      </c>
      <c r="CO20" s="12" t="s">
        <v>39</v>
      </c>
      <c r="CP20" s="93" t="str">
        <f t="shared" si="4"/>
        <v>MLLCLL</v>
      </c>
      <c r="CQ20" s="285" t="s">
        <v>831</v>
      </c>
      <c r="CR20" s="285" t="s">
        <v>829</v>
      </c>
      <c r="CS20" s="285" t="s">
        <v>731</v>
      </c>
      <c r="CT20" s="285"/>
      <c r="CU20" s="285"/>
      <c r="CV20" s="285"/>
      <c r="CW20" s="285"/>
      <c r="CX20" s="285"/>
      <c r="CY20" s="24">
        <f t="shared" si="5"/>
        <v>0</v>
      </c>
      <c r="CZ20" s="42" t="s">
        <v>856</v>
      </c>
      <c r="DA20" s="80"/>
      <c r="DB20" s="107"/>
      <c r="DC20" t="s">
        <v>370</v>
      </c>
      <c r="DD20" s="90">
        <f t="shared" si="63"/>
        <v>0</v>
      </c>
      <c r="DE20" s="97"/>
      <c r="DH20" s="29" t="s">
        <v>377</v>
      </c>
      <c r="DI20" s="90">
        <f t="shared" si="64"/>
        <v>30</v>
      </c>
      <c r="DJ20" s="97" t="s">
        <v>401</v>
      </c>
      <c r="DK20" s="24">
        <v>12</v>
      </c>
      <c r="DL20" s="24"/>
      <c r="DM20" s="24"/>
      <c r="DN20" s="27"/>
      <c r="DO20" s="45"/>
      <c r="DP20" s="45"/>
      <c r="DQ20" s="41"/>
      <c r="DS20" s="41"/>
      <c r="DT20" s="41"/>
      <c r="DU20" s="41"/>
      <c r="DV20" s="41"/>
      <c r="DW20" s="41"/>
      <c r="DX20" s="41"/>
      <c r="DY20" s="41"/>
      <c r="DZ20" s="41"/>
      <c r="EA20" s="41"/>
      <c r="EB20" s="41"/>
      <c r="ED20" s="25" t="s">
        <v>895</v>
      </c>
      <c r="EE20" s="41">
        <v>50</v>
      </c>
      <c r="EF20" s="45"/>
      <c r="EH20" s="114">
        <f t="shared" si="29"/>
        <v>0</v>
      </c>
      <c r="EI20" s="46"/>
      <c r="EJ20" s="32"/>
      <c r="EK20" s="35">
        <v>13</v>
      </c>
      <c r="EL20" s="178">
        <f t="shared" si="52"/>
        <v>0</v>
      </c>
      <c r="EM20" s="64" t="str">
        <f t="shared" si="30"/>
        <v/>
      </c>
      <c r="EN20" s="64" t="str">
        <f t="shared" si="61"/>
        <v/>
      </c>
      <c r="EO20" s="64" t="str">
        <f t="shared" si="53"/>
        <v>Double</v>
      </c>
      <c r="EU20" s="24">
        <f t="shared" si="32"/>
        <v>0</v>
      </c>
      <c r="EV20" s="60">
        <v>20</v>
      </c>
      <c r="EW20" s="64">
        <f t="shared" si="33"/>
        <v>1</v>
      </c>
      <c r="EX20" s="57">
        <f t="shared" si="34"/>
        <v>0</v>
      </c>
      <c r="EY20" s="57">
        <f t="shared" si="35"/>
        <v>0</v>
      </c>
      <c r="EZ20" s="58" t="str">
        <f t="shared" si="36"/>
        <v/>
      </c>
      <c r="FA20" s="57">
        <f t="shared" si="37"/>
        <v>0</v>
      </c>
      <c r="FB20" s="58" t="str">
        <f t="shared" si="38"/>
        <v/>
      </c>
      <c r="FC20" s="59">
        <f t="shared" si="39"/>
        <v>0</v>
      </c>
      <c r="FD20" s="139" t="str">
        <f t="shared" si="40"/>
        <v xml:space="preserve"> </v>
      </c>
      <c r="FF20" s="66">
        <f t="shared" ca="1" si="41"/>
        <v>0</v>
      </c>
      <c r="FG20" s="66" t="str">
        <f t="shared" ca="1" si="42"/>
        <v/>
      </c>
      <c r="FH20" s="66" t="str">
        <f t="shared" ca="1" si="43"/>
        <v/>
      </c>
      <c r="FI20" s="97" t="str">
        <f t="shared" si="44"/>
        <v/>
      </c>
      <c r="FJ20" s="97" t="str">
        <f t="shared" si="45"/>
        <v/>
      </c>
      <c r="FK20" s="97" t="str">
        <f t="shared" si="46"/>
        <v/>
      </c>
      <c r="FL20" s="97" t="str">
        <f t="shared" si="47"/>
        <v/>
      </c>
      <c r="FM20" s="97" t="str">
        <f t="shared" si="48"/>
        <v/>
      </c>
      <c r="FN20" s="169" t="str">
        <f t="shared" si="49"/>
        <v/>
      </c>
      <c r="FO20" s="65" t="str">
        <f t="shared" si="50"/>
        <v/>
      </c>
      <c r="FP20" s="170" t="str">
        <f t="shared" si="51"/>
        <v/>
      </c>
      <c r="FQ20" s="65"/>
      <c r="FR20" s="65"/>
      <c r="FS20" s="65"/>
      <c r="FT20" s="65"/>
      <c r="FU20" s="65"/>
      <c r="GD20" s="82" t="s">
        <v>409</v>
      </c>
      <c r="GE20" s="123" t="str">
        <f>IF(AND($B$8="Bass",$G$27 &lt;&gt;""), $G$27, IF($B$8="Bass", $E$27,""))</f>
        <v/>
      </c>
      <c r="GF20" s="123" t="str">
        <f>IF(AND($B$9="Bass",$G$27 &lt;&gt;""), $G$27, IF($B$9="Bass", $E$27,""))</f>
        <v/>
      </c>
      <c r="GG20" s="123" t="str">
        <f>IF(AND($B$10="Bass",$G$27 &lt;&gt;""), $G$27, IF($B$10="Bass", $E$27,""))</f>
        <v/>
      </c>
      <c r="GH20" s="123" t="str">
        <f>IF(AND($B$11="Bass",$G$27 &lt;&gt;""), $G$27, IF($B$11="Bass", $E$27,""))</f>
        <v/>
      </c>
      <c r="GI20" s="123" t="str">
        <f>IF(AND($B$12="Bass",$G$27 &lt;&gt;""), $G$27, IF($B$12="Bass", $E$27,""))</f>
        <v/>
      </c>
      <c r="GJ20" s="123" t="str">
        <f>IF(AND($B$13="Bass",$G$27 &lt;&gt;""), $G$27, IF($B$13="Bass", $E$27,""))</f>
        <v/>
      </c>
      <c r="GK20" s="123" t="str">
        <f>IF(AND($B$14="Bass",$G$27 &lt;&gt;""), $G$27, IF($B$14="Bass", $E$27,""))</f>
        <v/>
      </c>
      <c r="GL20" s="86" t="str">
        <f>IF(AND($B$15="Bass",$G$27 &lt;&gt;""), $G$27, IF($B$15="Bass", $E$27,""))</f>
        <v/>
      </c>
      <c r="GM20" s="86" t="str">
        <f>IF(AND($B$16="Bass",$G$27 &lt;&gt;""), $G$27, IF($B$16="Bass", $E$27,""))</f>
        <v/>
      </c>
      <c r="GN20" s="86" t="str">
        <f>IF(AND($B$17="Bass",$G$27 &lt;&gt;""), $G$27, IF($B$17="Bass", $E$27,""))</f>
        <v/>
      </c>
      <c r="GO20" s="86" t="str">
        <f>IF(AND($B$18="Bass",$G$27 &lt;&gt;""), $G$27, IF($B$18="Bass", $E$27,""))</f>
        <v/>
      </c>
      <c r="GP20" s="86" t="str">
        <f>IF(AND($B$19="Bass",$G$27 &lt;&gt;""), $G$27, IF($B$19="Bass", $E$27,""))</f>
        <v/>
      </c>
      <c r="GQ20" s="86" t="str">
        <f>IF(AND($B$20="Bass",$G$27 &lt;&gt;""), $G$27, IF($B$20="Bass", $E$27,""))</f>
        <v/>
      </c>
    </row>
    <row r="21" spans="1:200" ht="24" customHeight="1" thickBot="1" x14ac:dyDescent="0.4">
      <c r="B21" s="195" t="s">
        <v>1002</v>
      </c>
      <c r="D21" s="75"/>
      <c r="E21" s="201" t="s">
        <v>992</v>
      </c>
      <c r="G21" s="202" t="s">
        <v>535</v>
      </c>
      <c r="H21" s="31"/>
      <c r="I21" s="75"/>
      <c r="J21" s="75"/>
      <c r="N21" s="27"/>
      <c r="R21" s="48"/>
      <c r="S21" s="27"/>
      <c r="T21" s="27"/>
      <c r="U21" s="27"/>
      <c r="V21" s="27"/>
      <c r="W21" s="27"/>
      <c r="X21" s="27"/>
      <c r="AE21" t="s">
        <v>659</v>
      </c>
      <c r="AG21" s="144" t="s">
        <v>443</v>
      </c>
      <c r="AH21" s="146" t="s">
        <v>815</v>
      </c>
      <c r="AI21" s="45" t="s">
        <v>410</v>
      </c>
      <c r="AJ21" s="147" t="s">
        <v>620</v>
      </c>
      <c r="AK21" s="148" t="s">
        <v>443</v>
      </c>
      <c r="AL21" s="28"/>
      <c r="AM21" s="143" t="s">
        <v>876</v>
      </c>
      <c r="AN21" s="28"/>
      <c r="AO21" s="28"/>
      <c r="AP21" s="28"/>
      <c r="AQ21" s="28"/>
      <c r="AR21" s="28"/>
      <c r="AS21" s="28"/>
      <c r="AT21" s="1" t="s">
        <v>987</v>
      </c>
      <c r="AU21" s="207" t="s">
        <v>449</v>
      </c>
      <c r="AV21" s="208" t="s">
        <v>449</v>
      </c>
      <c r="AW21" s="9" t="s">
        <v>468</v>
      </c>
      <c r="AX21" s="2" t="s">
        <v>991</v>
      </c>
      <c r="BA21" s="12" t="s">
        <v>42</v>
      </c>
      <c r="BB21" s="12"/>
      <c r="BC21" s="13" t="str">
        <f t="shared" si="8"/>
        <v>Classic Maple 14x26 Bass Drum</v>
      </c>
      <c r="BD21" s="12" t="s">
        <v>42</v>
      </c>
      <c r="BE21" s="101"/>
      <c r="BG21" s="13" t="str">
        <f t="shared" si="56"/>
        <v>Legacy Maple 12x26 Bass Drum</v>
      </c>
      <c r="BH21" s="12" t="s">
        <v>41</v>
      </c>
      <c r="BI21" s="99"/>
      <c r="BJ21" s="19"/>
      <c r="BK21" s="18" t="str">
        <f t="shared" si="57"/>
        <v>Legacy Mahogany 12x26 Bass Drum</v>
      </c>
      <c r="BL21" s="12" t="s">
        <v>41</v>
      </c>
      <c r="BM21" s="99"/>
      <c r="BN21" s="17"/>
      <c r="BO21" s="18" t="str">
        <f t="shared" si="58"/>
        <v>Legacy Exotic 12x26 Bass Drum</v>
      </c>
      <c r="BP21" s="12" t="s">
        <v>41</v>
      </c>
      <c r="BQ21" s="95"/>
      <c r="BR21" s="40" t="s">
        <v>701</v>
      </c>
      <c r="BS21" s="12" t="s">
        <v>42</v>
      </c>
      <c r="BT21" s="238"/>
      <c r="BU21" s="239" t="s">
        <v>41</v>
      </c>
      <c r="BV21" s="240" t="s">
        <v>700</v>
      </c>
      <c r="BW21" s="241">
        <f t="shared" si="60"/>
        <v>1809</v>
      </c>
      <c r="BX21" s="241">
        <f t="shared" si="60"/>
        <v>2740</v>
      </c>
      <c r="BY21" s="241">
        <f t="shared" si="60"/>
        <v>2740</v>
      </c>
      <c r="BZ21" s="241">
        <f t="shared" si="60"/>
        <v>2835</v>
      </c>
      <c r="CA21" s="241">
        <f t="shared" si="60"/>
        <v>1691</v>
      </c>
      <c r="CB21" s="241"/>
      <c r="CC21" s="243" t="s">
        <v>1024</v>
      </c>
      <c r="CD21" s="313">
        <v>0</v>
      </c>
      <c r="CE21" s="242"/>
      <c r="CF21" s="239" t="str">
        <f t="shared" si="59"/>
        <v>12x26 Bass Drum</v>
      </c>
      <c r="CG21" s="130" t="s">
        <v>133</v>
      </c>
      <c r="CH21" s="130" t="s">
        <v>195</v>
      </c>
      <c r="CI21" s="130" t="s">
        <v>253</v>
      </c>
      <c r="CJ21" s="130" t="s">
        <v>311</v>
      </c>
      <c r="CK21" s="130" t="s">
        <v>776</v>
      </c>
      <c r="CL21" s="95"/>
      <c r="CM21" s="288" t="s">
        <v>19</v>
      </c>
      <c r="CN21" s="27" t="str">
        <f t="shared" si="3"/>
        <v>Bass.20x20 Bass Drum</v>
      </c>
      <c r="CO21" s="12" t="s">
        <v>494</v>
      </c>
      <c r="CP21" s="93" t="str">
        <f t="shared" si="4"/>
        <v>MLLC</v>
      </c>
      <c r="CQ21" s="285" t="s">
        <v>831</v>
      </c>
      <c r="CR21" s="285" t="s">
        <v>829</v>
      </c>
      <c r="CS21" s="285"/>
      <c r="CT21" s="285"/>
      <c r="CU21" s="285"/>
      <c r="CV21" s="285"/>
      <c r="CW21" s="285"/>
      <c r="CX21" s="285"/>
      <c r="CY21" s="24">
        <f>IF(ISERROR(MATCH(CO22,$C$8:$C$20,0)=FALSE),0,1)</f>
        <v>0</v>
      </c>
      <c r="CZ21" s="42" t="s">
        <v>856</v>
      </c>
      <c r="DA21" s="80"/>
      <c r="DB21" s="107"/>
      <c r="DC21" t="s">
        <v>371</v>
      </c>
      <c r="DD21" s="90">
        <f t="shared" si="63"/>
        <v>45</v>
      </c>
      <c r="DH21" s="30" t="s">
        <v>1133</v>
      </c>
      <c r="DI21" s="90">
        <f t="shared" si="64"/>
        <v>50</v>
      </c>
      <c r="DJ21" s="97" t="s">
        <v>386</v>
      </c>
      <c r="DK21" s="24">
        <v>12</v>
      </c>
      <c r="DL21" s="24"/>
      <c r="DM21" s="24"/>
      <c r="DN21" s="27"/>
      <c r="DO21" s="45"/>
      <c r="DP21" s="45"/>
      <c r="DQ21" s="41"/>
      <c r="DS21" s="41"/>
      <c r="DT21" s="108" t="s">
        <v>948</v>
      </c>
      <c r="DU21" s="41"/>
      <c r="DV21" s="41"/>
      <c r="DW21" s="41"/>
      <c r="DX21" s="41"/>
      <c r="DY21" s="41"/>
      <c r="DZ21" s="41"/>
      <c r="EA21" s="41"/>
      <c r="EB21" s="41"/>
      <c r="EC21" s="41"/>
      <c r="ED21" s="41"/>
      <c r="EF21" s="45"/>
      <c r="EH21" s="294">
        <f>SUM(EH8:EH20)</f>
        <v>0</v>
      </c>
      <c r="EI21" s="13" t="s">
        <v>1188</v>
      </c>
      <c r="EJ21" s="32"/>
      <c r="EL21" s="102"/>
      <c r="EM21" s="64"/>
      <c r="EO21" s="64"/>
      <c r="EU21" s="24"/>
      <c r="EV21" s="104">
        <v>21</v>
      </c>
      <c r="EW21" s="24"/>
      <c r="EZ21" s="226">
        <f t="shared" si="36"/>
        <v>0</v>
      </c>
      <c r="FA21" s="306" t="str">
        <f t="shared" ref="FA21:FA29" si="65">E21</f>
        <v>Standard Options:</v>
      </c>
      <c r="FF21" s="27"/>
      <c r="FN21" s="73" t="s">
        <v>1000</v>
      </c>
      <c r="FO21" s="19"/>
      <c r="FP21" s="170"/>
      <c r="FQ21" s="65"/>
      <c r="FR21" s="65" t="s">
        <v>1260</v>
      </c>
      <c r="FS21" s="65" t="str">
        <f>IF(AND(FS7&gt;0,FS19=0),"Yes","No")</f>
        <v>No</v>
      </c>
      <c r="FT21" s="65"/>
      <c r="FU21" s="65"/>
      <c r="GD21" s="82" t="s">
        <v>553</v>
      </c>
      <c r="GE21" s="123" t="str">
        <f>IF(AND($B$8="Floor",$G$8&lt;&gt;""),$G$8,"")</f>
        <v/>
      </c>
      <c r="GF21" s="123" t="str">
        <f>IF(AND($B$9="Floor",$G$9&lt;&gt;""),$G$9,"")</f>
        <v/>
      </c>
      <c r="GG21" s="123" t="str">
        <f>IF(AND($B$10="Floor",$G$10&lt;&gt;""),$G$10,"")</f>
        <v/>
      </c>
      <c r="GH21" s="123" t="str">
        <f>IF(AND($B$11="Floor",$G$11&lt;&gt;""),$G$11,"")</f>
        <v/>
      </c>
      <c r="GI21" s="123" t="str">
        <f>IF(AND($B$12="Floor",$G$12&lt;&gt;""),$G$12,"")</f>
        <v/>
      </c>
      <c r="GJ21" s="123" t="str">
        <f>IF(AND($B$13="Floor",$G$13&lt;&gt;""),$G$13,"")</f>
        <v/>
      </c>
      <c r="GK21" s="123" t="str">
        <f>IF(AND($B$14="Floor",$G$14&lt;&gt;""),$G$14,"")</f>
        <v/>
      </c>
      <c r="GL21" s="123" t="str">
        <f>IF(AND($B$15="Floor",$G$15&lt;&gt;""),$G$15,"")</f>
        <v/>
      </c>
      <c r="GM21" s="123" t="str">
        <f>IF(AND($B$16="Floor",$G$16&lt;&gt;""),$G$16,"")</f>
        <v/>
      </c>
      <c r="GN21" s="123" t="str">
        <f>IF(AND($B$17="Floor",$G$17&lt;&gt;""),$G$17,"")</f>
        <v/>
      </c>
      <c r="GO21" s="123" t="str">
        <f>IF(AND($B$18="Floor",$G$18&lt;&gt;""),$G$18,"")</f>
        <v/>
      </c>
      <c r="GP21" s="123" t="str">
        <f>IF(AND($B$19="Floor",$G$19&lt;&gt;""),$G$19,"")</f>
        <v/>
      </c>
      <c r="GQ21" s="123" t="str">
        <f>IF(AND($B$20="Floor",$G$20&lt;&gt;""),$G$20,"")</f>
        <v/>
      </c>
    </row>
    <row r="22" spans="1:200" ht="16.149999999999999" customHeight="1" thickBot="1" x14ac:dyDescent="0.3">
      <c r="A22" s="48"/>
      <c r="B22" s="160"/>
      <c r="C22" s="180" t="s">
        <v>482</v>
      </c>
      <c r="D22" s="71" t="s">
        <v>483</v>
      </c>
      <c r="E22" s="80" t="str">
        <f>IFERROR(INDEX(AG:AI, MATCH($C$3,AG:AG,0), MATCH("Default Bass Hoop",$AG$2:$AI$2,0)),"")</f>
        <v/>
      </c>
      <c r="F22" s="298" t="s">
        <v>498</v>
      </c>
      <c r="G22" s="200"/>
      <c r="H22" s="360" t="str">
        <f>IF(G22="","",(INDEX($CC$145:$CD$165,MATCH(CONCATENATE(B30," ",G22),$CC$145:$CC$165,0),2))*Q22/P22)</f>
        <v/>
      </c>
      <c r="I22" s="183" t="str">
        <f ca="1">IF($G$22="","",IF(ISERROR(MATCH($G$22,INDIRECT(INDEX($AG:$AJ,MATCH($C$3,$AG:$AG,0 ),4)),0))=FALSE,"","Invalid Selection"))</f>
        <v/>
      </c>
      <c r="J22" s="216"/>
      <c r="K22" s="178"/>
      <c r="L22" s="43"/>
      <c r="M22" s="217"/>
      <c r="N22" s="302"/>
      <c r="O22" s="357" t="str">
        <f t="shared" ref="O22:O30" si="66">CONCATENATE("LB ",INDEX($AC$2:$AF$7,MATCH($C$2,$AE$2:$AE$7,0),1)," ",$BV$1)</f>
        <v>LB L8 1200102</v>
      </c>
      <c r="P22" s="311">
        <f t="shared" ref="P22:P30" si="67">IFERROR(INDEX($CF:$CM,MATCH($O22,$CF:$CF,0),MATCH("Retail",$CF$107:$CM$107,0)),0)</f>
        <v>1400</v>
      </c>
      <c r="Q22" s="311">
        <f t="shared" ref="Q22:Q30" si="68">IFERROR(INDEX($CF:$CM,MATCH($O22,$CF:$CF,0),MATCH($L$1,$CF$107:$CM$107,0)),0)</f>
        <v>1400</v>
      </c>
      <c r="R22" s="48"/>
      <c r="X22" s="26">
        <f ca="1">IF(OR($D$3&lt;&gt;"",$D$4&lt;&gt;"", $D$6&lt;&gt;""),1,0)</f>
        <v>0</v>
      </c>
      <c r="Y22" s="22" t="s">
        <v>960</v>
      </c>
      <c r="AG22" s="144" t="s">
        <v>444</v>
      </c>
      <c r="AH22" s="146" t="s">
        <v>815</v>
      </c>
      <c r="AI22" s="45" t="s">
        <v>410</v>
      </c>
      <c r="AJ22" s="147" t="s">
        <v>620</v>
      </c>
      <c r="AK22" s="148" t="s">
        <v>444</v>
      </c>
      <c r="AL22" s="28"/>
      <c r="AM22" s="28" t="s">
        <v>877</v>
      </c>
      <c r="AN22" s="28" t="s">
        <v>879</v>
      </c>
      <c r="AO22" s="28"/>
      <c r="AP22" s="28" t="s">
        <v>513</v>
      </c>
      <c r="AQ22" s="28"/>
      <c r="AR22" s="28"/>
      <c r="AS22" s="28"/>
      <c r="AT22" s="1" t="s">
        <v>436</v>
      </c>
      <c r="AU22" s="207" t="s">
        <v>450</v>
      </c>
      <c r="AV22" s="208" t="s">
        <v>450</v>
      </c>
      <c r="AW22" s="10" t="s">
        <v>469</v>
      </c>
      <c r="AX22" s="208" t="s">
        <v>451</v>
      </c>
      <c r="BA22" s="12" t="s">
        <v>43</v>
      </c>
      <c r="BB22" s="12"/>
      <c r="BC22" s="13" t="str">
        <f t="shared" si="8"/>
        <v>Classic Maple 16x26 Bass Drum</v>
      </c>
      <c r="BD22" s="12" t="s">
        <v>43</v>
      </c>
      <c r="BE22" s="96"/>
      <c r="BG22" s="13" t="str">
        <f t="shared" si="56"/>
        <v>Legacy Maple 14x26 Bass Drum</v>
      </c>
      <c r="BH22" s="12" t="s">
        <v>42</v>
      </c>
      <c r="BI22" s="99"/>
      <c r="BJ22" s="19"/>
      <c r="BK22" s="18" t="str">
        <f t="shared" si="57"/>
        <v>Legacy Mahogany 14x26 Bass Drum</v>
      </c>
      <c r="BL22" s="12" t="s">
        <v>42</v>
      </c>
      <c r="BM22" s="99"/>
      <c r="BN22" s="17"/>
      <c r="BO22" s="18" t="str">
        <f t="shared" si="58"/>
        <v>Legacy Exotic 14x26 Bass Drum</v>
      </c>
      <c r="BP22" s="12" t="s">
        <v>42</v>
      </c>
      <c r="BQ22" s="95"/>
      <c r="BR22" s="40" t="s">
        <v>702</v>
      </c>
      <c r="BS22" s="12" t="s">
        <v>43</v>
      </c>
      <c r="BT22" s="238"/>
      <c r="BU22" s="239" t="s">
        <v>42</v>
      </c>
      <c r="BV22" s="240" t="s">
        <v>701</v>
      </c>
      <c r="BW22" s="241">
        <f t="shared" si="60"/>
        <v>1809</v>
      </c>
      <c r="BX22" s="241">
        <f t="shared" si="60"/>
        <v>2740</v>
      </c>
      <c r="BY22" s="241">
        <f t="shared" si="60"/>
        <v>2740</v>
      </c>
      <c r="BZ22" s="241">
        <f t="shared" si="60"/>
        <v>2835</v>
      </c>
      <c r="CA22" s="241">
        <f t="shared" si="60"/>
        <v>1691</v>
      </c>
      <c r="CB22" s="241"/>
      <c r="CC22" s="243" t="s">
        <v>1025</v>
      </c>
      <c r="CD22" s="313">
        <v>0</v>
      </c>
      <c r="CE22" s="242"/>
      <c r="CF22" s="239" t="str">
        <f t="shared" si="59"/>
        <v>14x26 Bass Drum</v>
      </c>
      <c r="CG22" s="130" t="s">
        <v>134</v>
      </c>
      <c r="CH22" s="130" t="s">
        <v>196</v>
      </c>
      <c r="CI22" s="130" t="s">
        <v>254</v>
      </c>
      <c r="CJ22" s="130" t="s">
        <v>312</v>
      </c>
      <c r="CK22" s="130" t="s">
        <v>777</v>
      </c>
      <c r="CL22" s="95"/>
      <c r="CM22" s="288" t="s">
        <v>19</v>
      </c>
      <c r="CN22" s="27" t="str">
        <f t="shared" si="3"/>
        <v>Bass.20x22 Bass Drum</v>
      </c>
      <c r="CO22" s="12" t="s">
        <v>35</v>
      </c>
      <c r="CP22" s="93" t="str">
        <f t="shared" si="4"/>
        <v>MLLC</v>
      </c>
      <c r="CQ22" s="285" t="s">
        <v>831</v>
      </c>
      <c r="CR22" s="285" t="s">
        <v>829</v>
      </c>
      <c r="CS22" s="285"/>
      <c r="CT22" s="285"/>
      <c r="CU22" s="285"/>
      <c r="CV22" s="285"/>
      <c r="CW22" s="285"/>
      <c r="CX22" s="285"/>
      <c r="CY22" s="24">
        <f>IF(ISERROR(MATCH(CO23,$C$8:$C$20,0)=FALSE),0,1)</f>
        <v>0</v>
      </c>
      <c r="CZ22" s="42" t="s">
        <v>856</v>
      </c>
      <c r="DA22" s="80"/>
      <c r="DB22" s="107"/>
      <c r="DC22" t="s">
        <v>847</v>
      </c>
      <c r="DD22" s="90">
        <f t="shared" si="63"/>
        <v>0</v>
      </c>
      <c r="DH22" s="154" t="s">
        <v>375</v>
      </c>
      <c r="DI22" s="90" t="str">
        <f t="shared" si="64"/>
        <v>Disc</v>
      </c>
      <c r="DJ22" s="97" t="s">
        <v>399</v>
      </c>
      <c r="DK22" s="42">
        <v>10</v>
      </c>
      <c r="DL22" s="42"/>
      <c r="DM22" s="24"/>
      <c r="DN22" s="27"/>
      <c r="DO22" s="45"/>
      <c r="DP22" s="45"/>
      <c r="DQ22" s="41"/>
      <c r="DS22" s="41"/>
      <c r="DT22" s="41" t="s">
        <v>411</v>
      </c>
      <c r="DU22" s="41"/>
      <c r="DV22" s="41"/>
      <c r="DW22" s="41"/>
      <c r="DX22" s="41"/>
      <c r="DY22" s="41"/>
      <c r="DZ22" s="41"/>
      <c r="EA22" s="41"/>
      <c r="EB22" s="41"/>
      <c r="EC22" s="41"/>
      <c r="ED22" s="41" t="s">
        <v>910</v>
      </c>
      <c r="EF22" s="45"/>
      <c r="EI22" s="46"/>
      <c r="EJ22" s="32"/>
      <c r="EL22" s="102"/>
      <c r="EM22" s="344" t="str">
        <f>IF(COUNTIF(EM8:EM20,"Small")&gt;0,"Small","Big")</f>
        <v>Big</v>
      </c>
      <c r="EN22" s="126" t="str">
        <f>IF(OR(COUNTIF(EN8:EN20,"Large Twin")&gt;0,COUNTIF(EN8:EN20,"Large Imperial")&gt;0),"Large Twin", IF(COUNTIF(EN8:EN20,"Mach Lugs")&gt;0,"Mach Lugs", IF(OR(COUNTIF(EN8:EN20,"Mini Classic")&gt;0,COUNTIF(EN8:EN20,"Large Classic")&gt;0),"Mini Classic","Error")))</f>
        <v>Error</v>
      </c>
      <c r="EO22" s="334" t="str">
        <f>IF($G$30="Single","Single","Double")</f>
        <v>Double</v>
      </c>
      <c r="EP22" s="22" t="str">
        <f>CONCATENATE(EN22,".",EM22,".",EO22)</f>
        <v>Error.Big.Double</v>
      </c>
      <c r="ET22" s="83" t="s">
        <v>603</v>
      </c>
      <c r="EU22" s="84">
        <f>SUM(EU8:EU21)</f>
        <v>0</v>
      </c>
      <c r="EV22" s="104">
        <v>22</v>
      </c>
      <c r="EY22" s="26" t="str">
        <f>C22</f>
        <v>Bass Drum Details</v>
      </c>
      <c r="EZ22" s="24" t="str">
        <f>D22</f>
        <v xml:space="preserve">Hoops </v>
      </c>
      <c r="FA22" t="str">
        <f t="shared" si="65"/>
        <v/>
      </c>
      <c r="FB22" t="str">
        <f t="shared" ref="FB22:FC29" si="69">F22</f>
        <v>Change to</v>
      </c>
      <c r="FC22">
        <f t="shared" si="69"/>
        <v>0</v>
      </c>
      <c r="FF22" s="24" t="s">
        <v>512</v>
      </c>
      <c r="FG22" t="s">
        <v>512</v>
      </c>
      <c r="FH22" t="s">
        <v>512</v>
      </c>
      <c r="FN22" s="169">
        <f>IF(COUNTIF(Tom_DblSngl,"*"&amp;FO22&amp;"*")&gt;0=TRUE,1,0)</f>
        <v>0</v>
      </c>
      <c r="FO22" s="19" t="s">
        <v>924</v>
      </c>
      <c r="FP22" s="171"/>
      <c r="FQ22" s="19"/>
      <c r="FR22" s="19" t="s">
        <v>1253</v>
      </c>
      <c r="FS22" s="19" t="s">
        <v>1234</v>
      </c>
      <c r="FT22" s="19"/>
      <c r="FU22" s="19"/>
      <c r="GD22" s="82" t="s">
        <v>555</v>
      </c>
      <c r="GE22" s="124" t="str">
        <f>IF(AND($B$8="Tom",$G$8&lt;&gt;""),$G$8,"")</f>
        <v/>
      </c>
      <c r="GF22" s="124" t="str">
        <f>IF(AND($B$9="Tom",$G$9&lt;&gt;""),$G$9,"")</f>
        <v/>
      </c>
      <c r="GG22" s="124" t="str">
        <f>IF(AND($B$10="Tom",$G$10&lt;&gt;""),$G$10,"")</f>
        <v/>
      </c>
      <c r="GH22" s="124" t="str">
        <f>IF(AND($B$11="Tom",$G$11&lt;&gt;""),$G$11,"")</f>
        <v/>
      </c>
      <c r="GI22" s="124" t="str">
        <f>IF(AND($B$12="Tom",$G$12&lt;&gt;""),$G$12,"")</f>
        <v/>
      </c>
      <c r="GJ22" s="124" t="str">
        <f>IF(AND($B$13="Tom",$G$13&lt;&gt;""),$G$13,"")</f>
        <v/>
      </c>
      <c r="GK22" s="124" t="str">
        <f>IF(AND($B$14="Tom",$G$14&lt;&gt;""),$G$14,"")</f>
        <v/>
      </c>
      <c r="GL22" s="88" t="str">
        <f>IF(AND($B$15="Tom",$G$15&lt;&gt;""),$G$15,"")</f>
        <v/>
      </c>
      <c r="GM22" s="88" t="str">
        <f>IF(AND($B$16="Tom",$G$16&lt;&gt;""),$G$16,"")</f>
        <v/>
      </c>
      <c r="GN22" s="88" t="str">
        <f>IF(AND($B$17="Tom",$G$17&lt;&gt;""),$G$17,"")</f>
        <v/>
      </c>
      <c r="GO22" s="88" t="str">
        <f>IF(AND($B$18="Tom",$G$18&lt;&gt;""),$G$18,"")</f>
        <v/>
      </c>
      <c r="GP22" s="88" t="str">
        <f>IF(AND($B$19="Tom",$G$19&lt;&gt;""),$G$19,"")</f>
        <v/>
      </c>
      <c r="GQ22" s="88" t="str">
        <f>IF(AND($B$20="Tom",$G$20&lt;&gt;""),$G$20,"")</f>
        <v/>
      </c>
    </row>
    <row r="23" spans="1:200" ht="15.75" x14ac:dyDescent="0.25">
      <c r="A23" s="48"/>
      <c r="B23" s="160" t="str">
        <f>EP26</f>
        <v>Spurs_FN</v>
      </c>
      <c r="C23" s="73"/>
      <c r="D23" s="72" t="s">
        <v>499</v>
      </c>
      <c r="E23" s="298" t="str">
        <f>IF(AND(C3="MH Vintage Mahogany", G22=""),"NM Vintage White Marine",  IF(AND(G22="",OR(E22="Satin Sable w/Inlay",E22 = "Satin Natural w/inlay",E22= "Sable Black w/Inlay", E22= "Natural w/Inlay", E22= "Matching w/Inlay")), C3, IF(OR(G22 = "Satin Sable w/Inlay",G22 = "Satin Natural w/Inlay", G22="Satin Sable w/Accent", G22="Satin Natural w/Accent", G22 = "Full Width Accent", G22 = "Sable Black w/Inlay", G22="Sable Black w/Accent", G22="Natural w/Inlay", G22= "Natural w/Accent", G22= "Matching Hoop w/Inlay"),INDEX(AG:AK, MATCH(C3,AG:AG,0),5),"Does Not Apply")  ))</f>
        <v>Does Not Apply</v>
      </c>
      <c r="F23" s="298" t="s">
        <v>498</v>
      </c>
      <c r="G23" s="200"/>
      <c r="H23" s="363" t="str">
        <f>IF(G23="","",0)</f>
        <v/>
      </c>
      <c r="I23" s="183" t="str">
        <f ca="1">IF($G$23="","",IF(ISERROR(MATCH($G$23,INDIRECT(B26),0))=FALSE,"","Invalid Selection"))</f>
        <v/>
      </c>
      <c r="J23" s="216"/>
      <c r="K23" s="178"/>
      <c r="L23" s="218"/>
      <c r="M23" s="179"/>
      <c r="N23" s="302"/>
      <c r="O23" s="357" t="str">
        <f t="shared" si="66"/>
        <v>LB L8 1200102</v>
      </c>
      <c r="P23" s="311">
        <f t="shared" si="67"/>
        <v>1400</v>
      </c>
      <c r="Q23" s="311">
        <f t="shared" si="68"/>
        <v>1400</v>
      </c>
      <c r="R23" s="48"/>
      <c r="X23" s="26">
        <f ca="1">COUNTIF(C7:G7,"*INVALID SELECTION*")</f>
        <v>0</v>
      </c>
      <c r="Y23" s="22" t="s">
        <v>961</v>
      </c>
      <c r="AE23" s="6" t="s">
        <v>497</v>
      </c>
      <c r="AG23" s="144" t="s">
        <v>989</v>
      </c>
      <c r="AH23" s="146" t="s">
        <v>815</v>
      </c>
      <c r="AI23" s="45" t="s">
        <v>410</v>
      </c>
      <c r="AJ23" s="147" t="s">
        <v>620</v>
      </c>
      <c r="AK23" s="148" t="s">
        <v>989</v>
      </c>
      <c r="AL23" s="28"/>
      <c r="AM23" s="28" t="s">
        <v>878</v>
      </c>
      <c r="AN23" s="28" t="s">
        <v>879</v>
      </c>
      <c r="AO23" s="28" t="s">
        <v>1148</v>
      </c>
      <c r="AP23" s="28" t="s">
        <v>513</v>
      </c>
      <c r="AQ23" s="28"/>
      <c r="AR23" s="28"/>
      <c r="AS23" s="28"/>
      <c r="AT23" s="1" t="s">
        <v>463</v>
      </c>
      <c r="AU23" s="205" t="s">
        <v>451</v>
      </c>
      <c r="AV23" s="206" t="s">
        <v>451</v>
      </c>
      <c r="AW23" s="10" t="s">
        <v>470</v>
      </c>
      <c r="AX23" s="3" t="s">
        <v>453</v>
      </c>
      <c r="BC23" s="14"/>
      <c r="BE23" s="97"/>
      <c r="BG23" s="13" t="str">
        <f t="shared" si="56"/>
        <v>Legacy Maple 16x26 Bass Drum</v>
      </c>
      <c r="BH23" s="12" t="s">
        <v>43</v>
      </c>
      <c r="BI23" s="99"/>
      <c r="BJ23" s="19"/>
      <c r="BK23" s="18" t="str">
        <f t="shared" si="57"/>
        <v>Legacy Mahogany 16x26 Bass Drum</v>
      </c>
      <c r="BL23" s="12" t="s">
        <v>43</v>
      </c>
      <c r="BM23" s="99"/>
      <c r="BN23" s="17"/>
      <c r="BO23" s="18" t="str">
        <f t="shared" si="58"/>
        <v>Legacy Exotic 16x26 Bass Drum</v>
      </c>
      <c r="BP23" s="12" t="s">
        <v>43</v>
      </c>
      <c r="BQ23" s="64"/>
      <c r="BR23" s="64"/>
      <c r="BS23" s="64"/>
      <c r="BT23" s="238"/>
      <c r="BU23" s="239" t="s">
        <v>43</v>
      </c>
      <c r="BV23" s="240" t="s">
        <v>702</v>
      </c>
      <c r="BW23" s="241">
        <f t="shared" si="60"/>
        <v>1809</v>
      </c>
      <c r="BX23" s="241">
        <f t="shared" si="60"/>
        <v>2740</v>
      </c>
      <c r="BY23" s="241">
        <f t="shared" si="60"/>
        <v>2740</v>
      </c>
      <c r="BZ23" s="241">
        <f t="shared" si="60"/>
        <v>2835</v>
      </c>
      <c r="CA23" s="241">
        <f t="shared" si="60"/>
        <v>1691</v>
      </c>
      <c r="CB23" s="241"/>
      <c r="CC23" s="243" t="s">
        <v>1026</v>
      </c>
      <c r="CD23" s="313">
        <v>0</v>
      </c>
      <c r="CE23" s="242"/>
      <c r="CF23" s="239" t="str">
        <f t="shared" si="59"/>
        <v>16x26 Bass Drum</v>
      </c>
      <c r="CG23" s="130" t="s">
        <v>135</v>
      </c>
      <c r="CH23" s="130" t="s">
        <v>197</v>
      </c>
      <c r="CI23" s="130" t="s">
        <v>255</v>
      </c>
      <c r="CJ23" s="130" t="s">
        <v>313</v>
      </c>
      <c r="CK23" s="130" t="s">
        <v>778</v>
      </c>
      <c r="CL23" s="64"/>
      <c r="CM23" s="288" t="s">
        <v>19</v>
      </c>
      <c r="CN23" s="27" t="str">
        <f t="shared" si="3"/>
        <v>Bass.20x24 Bass Drum</v>
      </c>
      <c r="CO23" s="12" t="s">
        <v>40</v>
      </c>
      <c r="CP23" s="93" t="str">
        <f t="shared" si="4"/>
        <v>MLLC</v>
      </c>
      <c r="CQ23" s="285" t="s">
        <v>831</v>
      </c>
      <c r="CR23" s="285" t="s">
        <v>829</v>
      </c>
      <c r="CS23" s="285"/>
      <c r="CT23" s="285"/>
      <c r="CU23" s="285"/>
      <c r="CV23" s="285"/>
      <c r="CW23" s="285"/>
      <c r="CX23" s="285"/>
      <c r="CY23" s="285">
        <f>IF(ISERROR(MATCH(CO24,$C$8:$C$20,0)=FALSE),0,1)</f>
        <v>0</v>
      </c>
      <c r="CZ23" s="42" t="s">
        <v>856</v>
      </c>
      <c r="DA23" s="80"/>
      <c r="DB23" s="107"/>
      <c r="DC23" t="s">
        <v>1123</v>
      </c>
      <c r="DD23" s="90">
        <v>0</v>
      </c>
      <c r="DH23" s="154" t="s">
        <v>1135</v>
      </c>
      <c r="DI23" s="90" t="str">
        <f t="shared" si="64"/>
        <v>Disc</v>
      </c>
      <c r="DJ23" s="97" t="s">
        <v>386</v>
      </c>
      <c r="DK23" s="42">
        <v>10</v>
      </c>
      <c r="DL23" s="42"/>
      <c r="DM23" s="24"/>
      <c r="DN23" s="27"/>
      <c r="DO23" s="45"/>
      <c r="DP23" s="45"/>
      <c r="DQ23" s="41"/>
      <c r="DS23" s="41"/>
      <c r="DT23" s="41" t="s">
        <v>412</v>
      </c>
      <c r="DU23" s="41"/>
      <c r="DV23" s="41"/>
      <c r="DW23" s="41"/>
      <c r="DX23" s="41"/>
      <c r="DY23" s="41"/>
      <c r="DZ23" s="41"/>
      <c r="EA23" s="41"/>
      <c r="EB23" s="41"/>
      <c r="EC23" s="41"/>
      <c r="ED23" s="41" t="s">
        <v>19</v>
      </c>
      <c r="EE23" t="str">
        <f>IF($C$2="Classic Oak","Double 45",IF(OR($C$2="Legacy Exotic",$C$2="Legacy Mahogany",$C$2="Legacy Maple"),"Legacy Edges",IF($C$2="Classic Maple", IF(G29="","Single 45", G29))))</f>
        <v>Single 45</v>
      </c>
      <c r="EF23" s="45"/>
      <c r="EH23" t="str">
        <f>IF(EH21&gt;0,"Keyrods","T-Handles")</f>
        <v>T-Handles</v>
      </c>
      <c r="EI23" s="46"/>
      <c r="EJ23" s="32"/>
      <c r="EL23" s="102"/>
      <c r="EM23" s="337" t="s">
        <v>1242</v>
      </c>
      <c r="EN23" s="337" t="s">
        <v>1242</v>
      </c>
      <c r="EO23" t="s">
        <v>1242</v>
      </c>
      <c r="EP23" s="43"/>
      <c r="EV23" s="105">
        <v>23</v>
      </c>
      <c r="EW23" s="64">
        <f t="shared" ref="EW23:EW49" si="70">A23</f>
        <v>0</v>
      </c>
      <c r="EX23" s="14" t="str">
        <f t="shared" ref="EX23:EX30" si="71">B23</f>
        <v>Spurs_FN</v>
      </c>
      <c r="EY23" s="304"/>
      <c r="EZ23" s="14" t="str">
        <f t="shared" ref="EZ23:EZ30" si="72">D23</f>
        <v>Inlay/Accent</v>
      </c>
      <c r="FA23" t="str">
        <f t="shared" si="65"/>
        <v>Does Not Apply</v>
      </c>
      <c r="FB23" t="str">
        <f t="shared" si="69"/>
        <v>Change to</v>
      </c>
      <c r="FC23">
        <f t="shared" si="69"/>
        <v>0</v>
      </c>
      <c r="FF23" s="24" t="s">
        <v>511</v>
      </c>
      <c r="FG23" t="s">
        <v>516</v>
      </c>
      <c r="FH23" t="s">
        <v>517</v>
      </c>
      <c r="FN23" s="172">
        <f>IF(COUNTIF(Floor_DblSngl,"*"&amp;FO23&amp;"*")&gt;0=TRUE,1,0)</f>
        <v>0</v>
      </c>
      <c r="FO23" s="19" t="s">
        <v>925</v>
      </c>
      <c r="FP23" s="171"/>
      <c r="FQ23" s="19"/>
      <c r="FT23" s="19"/>
      <c r="FU23" s="19"/>
      <c r="GD23" s="82" t="s">
        <v>520</v>
      </c>
      <c r="GE23" s="150" t="str">
        <f>IF(OR($B$8="Bass",$B$8=""),"", IF(AND($B$8="Snare",$G$45="Baseball Bat Tone Control"),"Baseball Bat Tone Control", IF(AND($B$8="Tom",$G$32="Baseball Bat Tone Control"),"Baseball Bat Tone Control",IF(AND($B$8="Floor",$G$38="Baseball Bat Tone Control"),"Baseball Bat Tone Control","None"))))</f>
        <v/>
      </c>
      <c r="GF23" s="150" t="str">
        <f>IF(OR($B$9="Bass",$B$9=""),"", IF(AND($B$9="Snare",$G$45="Baseball Bat Tone Control"),"Baseball Bat Tone Control", IF(AND($B$9="Tom",$G$32="Baseball Bat Tone Control"),"Baseball Bat Tone Control",IF(AND($B$9="Floor",$G$38="Baseball Bat Tone Control"),"Baseball Bat Tone Control","None"))))</f>
        <v/>
      </c>
      <c r="GG23" s="150" t="str">
        <f>IF(OR($B$10="Bass",$B$10=""),"", IF(AND($B$10="Snare",$G$45="Baseball Bat Tone Control"),"Baseball Bat Tone Control", IF(AND($B$10="Tom",$G$32="Baseball Bat Tone Control"),"Baseball Bat Tone Control",IF(AND($B$10="Floor",$G$38="Baseball Bat Tone Control"),"Baseball Bat Tone Control","None"))))</f>
        <v/>
      </c>
      <c r="GH23" s="150" t="str">
        <f>IF(OR($B$11="Bass",$B$11=""),"", IF(AND($B$11="Snare",$G$45="Baseball Bat Tone Control"),"Baseball Bat Tone Control", IF(AND($B$11="Tom",$G$32="Baseball Bat Tone Control"),"Baseball Bat Tone Control",IF(AND($B$11="Floor",$G$38="Baseball Bat Tone Control"),"Baseball Bat Tone Control","None"))))</f>
        <v/>
      </c>
      <c r="GI23" s="150" t="str">
        <f>IF(OR($B$12="Bass",$B$12=""),"", IF(AND($B$12="Snare",$G$45="Baseball Bat Tone Control"),"Baseball Bat Tone Control", IF(AND($B$12="Tom",$G$32="Baseball Bat Tone Control"),"Baseball Bat Tone Control",IF(AND($B$12="Floor",$G$38="Baseball Bat Tone Control"),"Baseball Bat Tone Control","None"))))</f>
        <v/>
      </c>
      <c r="GJ23" s="150" t="str">
        <f>IF(OR($B$13="Bass",$B$13=""),"", IF(AND($B$13="Snare",$G$45="Baseball Bat Tone Control"),"Baseball Bat Tone Control", IF(AND($B$13="Tom",$G$32="Baseball Bat Tone Control"),"Baseball Bat Tone Control",IF(AND($B$13="Floor",$G$38="Baseball Bat Tone Control"),"Baseball Bat Tone Control","None"))))</f>
        <v/>
      </c>
      <c r="GK23" s="150" t="str">
        <f>IF(OR($B$14="Bass",$B$14=""),"", IF(AND($B$14="Snare",$G$45="Baseball Bat Tone Control"),"Baseball Bat Tone Control", IF(AND($B$14="Tom",$G$32="Baseball Bat Tone Control"),"Baseball Bat Tone Control",IF(AND($B$14="Floor",$G$38="Baseball Bat Tone Control"),"Baseball Bat Tone Control","None"))))</f>
        <v/>
      </c>
      <c r="GL23" s="150" t="str">
        <f>IF(OR($B$15="Bass",$B$15=""),"", IF(AND($B$15="Snare",$G$45="Baseball Bat Tone Control"),"Baseball Bat Tone Control", IF(AND($B$15="Tom",$G$32="Baseball Bat Tone Control"),"Baseball Bat Tone Control",IF(AND($B$15="Floor",$G$38="Baseball Bat Tone Control"),"Baseball Bat Tone Control","None"))))</f>
        <v/>
      </c>
      <c r="GM23" s="150" t="str">
        <f>IF(OR($B$16="Bass",$B$16=""),"", IF(AND($B$16="Snare",$G$45="Baseball Bat Tone Control"),"Baseball Bat Tone Control", IF(AND($B$16="Tom",$G$32="Baseball Bat Tone Control"),"Baseball Bat Tone Control",IF(AND($B$16="Floor",$G$38="Baseball Bat Tone Control"),"Baseball Bat Tone Control","None"))))</f>
        <v/>
      </c>
      <c r="GN23" s="150" t="str">
        <f>IF(OR($B$17="Bass",$B$17=""),"", IF(AND($B$17="Snare",$G$45="Baseball Bat Tone Control"),"Baseball Bat Tone Control", IF(AND($B$17="Tom",$G$32="Baseball Bat Tone Control"),"Baseball Bat Tone Control",IF(AND($B$17="Floor",$G$38="Baseball Bat Tone Control"),"Baseball Bat Tone Control","None"))))</f>
        <v/>
      </c>
      <c r="GO23" s="150" t="str">
        <f>IF(OR($B$18="Bass",$B$18=""),"", IF(AND($B$18="Snare",$G$45="Baseball Bat Tone Control"),"Baseball Bat Tone Control", IF(AND($B$18="Tom",$G$32="Baseball Bat Tone Control"),"Baseball Bat Tone Control",IF(AND($B$18="Floor",$G$38="Baseball Bat Tone Control"),"Baseball Bat Tone Control","None"))))</f>
        <v/>
      </c>
      <c r="GP23" s="150" t="str">
        <f>IF(OR($B$19="Bass",$B$19=""),"", IF(AND($B$19="Snare",$G$45="Baseball Bat Tone Control"),"Baseball Bat Tone Control", IF(AND($B$19="Tom",$G$32="Baseball Bat Tone Control"),"Baseball Bat Tone Control",IF(AND($B$19="Floor",$G$38="Baseball Bat Tone Control"),"Baseball Bat Tone Control","None"))))</f>
        <v/>
      </c>
      <c r="GQ23" s="150" t="str">
        <f>IF(OR($B$20="Bass",$B$20=""),"", IF(AND($B$20="Snare",$G$45="Baseball Bat Tone Control"),"Baseball Bat Tone Control", IF(AND($B$20="Tom",$G$32="Baseball Bat Tone Control"),"Baseball Bat Tone Control",IF(AND($B$20="Floor",$G$38="Baseball Bat Tone Control"),"Baseball Bat Tone Control","None"))))</f>
        <v/>
      </c>
    </row>
    <row r="24" spans="1:200" ht="15.75" x14ac:dyDescent="0.25">
      <c r="A24" s="47" t="s">
        <v>495</v>
      </c>
      <c r="B24" s="160">
        <f>COUNTIF($B$8:$B$20,"Bass")</f>
        <v>0</v>
      </c>
      <c r="C24" s="73"/>
      <c r="D24" s="72" t="s">
        <v>485</v>
      </c>
      <c r="E24" s="298" t="str">
        <f>EP27</f>
        <v>Elite Kick Style</v>
      </c>
      <c r="F24" s="298" t="s">
        <v>498</v>
      </c>
      <c r="G24" s="200"/>
      <c r="H24" s="360" t="str">
        <f>IF(G24="","",(INDEX(CC170:CD176,MATCH(G24,CC170:CC176,0),2))*Q24/P24)</f>
        <v/>
      </c>
      <c r="I24" s="183" t="str">
        <f ca="1">IF($G$24="","",IF(ISERROR(MATCH($G$24,INDIRECT(B23),0))=FALSE,"","Invalid Selection"))</f>
        <v/>
      </c>
      <c r="J24" s="216"/>
      <c r="K24" s="178"/>
      <c r="L24" s="218"/>
      <c r="M24" s="219"/>
      <c r="N24" s="302"/>
      <c r="O24" s="357" t="str">
        <f t="shared" si="66"/>
        <v>LB L8 1200102</v>
      </c>
      <c r="P24" s="311">
        <f t="shared" si="67"/>
        <v>1400</v>
      </c>
      <c r="Q24" s="311">
        <f t="shared" si="68"/>
        <v>1400</v>
      </c>
      <c r="R24" s="48"/>
      <c r="X24" s="26" t="e">
        <f ca="1">SUM($X$8:$X$20)</f>
        <v>#N/A</v>
      </c>
      <c r="Y24" s="22" t="s">
        <v>959</v>
      </c>
      <c r="AE24" t="str">
        <f>IF(G30 = "Single", "Nuthin'", "Black w/Script Logo")</f>
        <v>Black w/Script Logo</v>
      </c>
      <c r="AG24" s="144" t="s">
        <v>447</v>
      </c>
      <c r="AH24" s="146" t="s">
        <v>815</v>
      </c>
      <c r="AI24" s="45" t="s">
        <v>410</v>
      </c>
      <c r="AJ24" s="147" t="s">
        <v>620</v>
      </c>
      <c r="AK24" s="148" t="s">
        <v>447</v>
      </c>
      <c r="AL24" s="28"/>
      <c r="AM24" s="28"/>
      <c r="AN24" s="28"/>
      <c r="AO24" s="28"/>
      <c r="AP24" s="28"/>
      <c r="AQ24" s="28"/>
      <c r="AR24" s="28"/>
      <c r="AS24" s="28"/>
      <c r="AT24" s="1" t="s">
        <v>437</v>
      </c>
      <c r="AU24" s="5" t="s">
        <v>453</v>
      </c>
      <c r="AV24" s="3" t="s">
        <v>453</v>
      </c>
      <c r="AW24" s="10" t="s">
        <v>471</v>
      </c>
      <c r="AX24" s="3" t="s">
        <v>454</v>
      </c>
      <c r="BC24" s="14"/>
      <c r="BH24" s="12"/>
      <c r="BU24" s="246"/>
      <c r="BV24" s="236"/>
      <c r="CC24" s="243" t="s">
        <v>1022</v>
      </c>
      <c r="CF24" s="246"/>
      <c r="CM24" s="288" t="s">
        <v>21</v>
      </c>
      <c r="CN24" s="27" t="str">
        <f t="shared" si="3"/>
        <v>Floor.12x14 Floor Tom</v>
      </c>
      <c r="CO24" s="12" t="s">
        <v>44</v>
      </c>
      <c r="CP24" s="93" t="str">
        <f t="shared" si="4"/>
        <v>MLLCLL</v>
      </c>
      <c r="CQ24" s="285" t="s">
        <v>831</v>
      </c>
      <c r="CR24" s="285" t="s">
        <v>829</v>
      </c>
      <c r="CS24" s="285" t="s">
        <v>731</v>
      </c>
      <c r="CT24" s="285"/>
      <c r="CU24" s="285"/>
      <c r="CV24" s="285"/>
      <c r="CW24" s="285"/>
      <c r="CX24" s="285"/>
      <c r="CY24" s="24"/>
      <c r="DA24" s="107"/>
      <c r="DB24" s="107"/>
      <c r="DC24" s="12"/>
      <c r="DE24" s="31"/>
      <c r="DI24" s="90"/>
      <c r="DJ24" s="97"/>
      <c r="DM24" s="24"/>
      <c r="DN24" s="27"/>
      <c r="DO24" s="45"/>
      <c r="DP24" s="45"/>
      <c r="DR24" s="41"/>
      <c r="DS24" s="41"/>
      <c r="DT24" s="41" t="s">
        <v>413</v>
      </c>
      <c r="DU24" s="41"/>
      <c r="DV24" s="41"/>
      <c r="DW24" s="41"/>
      <c r="DX24" s="41"/>
      <c r="DY24" s="41"/>
      <c r="DZ24" s="41"/>
      <c r="EA24" s="41"/>
      <c r="EB24" s="41"/>
      <c r="EC24" s="41"/>
      <c r="ED24" s="41" t="s">
        <v>20</v>
      </c>
      <c r="EE24" t="str">
        <f>IF($C$2="Classic Oak","Double 45",IF(OR($C$2="Legacy Exotic",$C$2="Legacy Mahogany",$C$2="Legacy Maple"),"Legacy Edges",IF($C$2="Classic Maple", IF($G$35="","Single 45",$G$35))))</f>
        <v>Single 45</v>
      </c>
      <c r="EF24" s="45"/>
      <c r="EI24" s="46"/>
      <c r="EJ24" s="32"/>
      <c r="EL24" s="102"/>
      <c r="EM24" s="345" t="s">
        <v>1237</v>
      </c>
      <c r="EN24" s="190" t="s">
        <v>1246</v>
      </c>
      <c r="EO24" s="43" t="s">
        <v>1247</v>
      </c>
      <c r="EP24" s="43"/>
      <c r="EV24" s="105">
        <v>24</v>
      </c>
      <c r="EW24" s="64" t="str">
        <f t="shared" si="70"/>
        <v>BD Count</v>
      </c>
      <c r="EX24" s="14">
        <f t="shared" si="71"/>
        <v>0</v>
      </c>
      <c r="EY24" s="304"/>
      <c r="EZ24" s="14" t="str">
        <f t="shared" si="72"/>
        <v xml:space="preserve">Spurs </v>
      </c>
      <c r="FA24" t="str">
        <f t="shared" si="65"/>
        <v>Elite Kick Style</v>
      </c>
      <c r="FB24" t="str">
        <f t="shared" si="69"/>
        <v>Change to</v>
      </c>
      <c r="FC24">
        <f t="shared" si="69"/>
        <v>0</v>
      </c>
      <c r="FG24" t="s">
        <v>110</v>
      </c>
      <c r="FH24" t="s">
        <v>518</v>
      </c>
      <c r="FN24" s="172">
        <f>IF(COUNTIF(Bass_DblSngl,"*"&amp;FO24&amp;"*")&gt;0=TRUE,1,0)</f>
        <v>0</v>
      </c>
      <c r="FO24" s="19" t="s">
        <v>926</v>
      </c>
      <c r="FP24" s="171"/>
      <c r="FQ24" s="19"/>
      <c r="FR24" s="19" t="s">
        <v>838</v>
      </c>
      <c r="FS24" s="19"/>
      <c r="FT24" s="19"/>
      <c r="FU24" s="19"/>
      <c r="GD24" s="82" t="s">
        <v>556</v>
      </c>
      <c r="GE24" s="123" t="str">
        <f>IF(AND($B$8="Snare",$G$8&lt;&gt;""),$G$8,"")</f>
        <v/>
      </c>
      <c r="GF24" s="123" t="str">
        <f>IF(AND($B$9="Snare",$G$9&lt;&gt;""),$G$9,"")</f>
        <v/>
      </c>
      <c r="GG24" s="123" t="str">
        <f>IF(AND($B$10="Snare",$G$10&lt;&gt;""),$G$10,"")</f>
        <v/>
      </c>
      <c r="GH24" s="123" t="str">
        <f>IF(AND($B$11="Snare",$G$11&lt;&gt;""),$G$11,"")</f>
        <v/>
      </c>
      <c r="GI24" s="123" t="str">
        <f>IF(AND($B$12="Snare",$G$12&lt;&gt;""),$G$12,"")</f>
        <v/>
      </c>
      <c r="GJ24" s="123" t="str">
        <f>IF(AND($B$13="Snare",$G$13&lt;&gt;""),$G$13,"")</f>
        <v/>
      </c>
      <c r="GK24" s="123" t="str">
        <f>IF(AND($B$14="Snare",$G$14&lt;&gt;""),$G$14,"")</f>
        <v/>
      </c>
      <c r="GL24" s="123" t="str">
        <f>IF(AND($B$15="Snare",$G$15&lt;&gt;""),$G$15,"")</f>
        <v/>
      </c>
      <c r="GM24" s="123" t="str">
        <f>IF(AND($B$16="Snare",$G$16&lt;&gt;""),$G$16,"")</f>
        <v/>
      </c>
      <c r="GN24" s="123" t="str">
        <f>IF(AND($B$17="Snare",$G$17&lt;&gt;""),$G$17,"")</f>
        <v/>
      </c>
      <c r="GO24" s="123" t="str">
        <f>IF(AND($B$18="Snare",$G$18&lt;&gt;""),$G$18,"")</f>
        <v/>
      </c>
      <c r="GP24" s="123" t="str">
        <f>IF(AND($B$19="Snare",$G$19&lt;&gt;""),$G$19,"")</f>
        <v/>
      </c>
      <c r="GQ24" s="123" t="str">
        <f>IF(AND($B$20="Snare",$G$20&lt;&gt;""),$G$20,"")</f>
        <v/>
      </c>
    </row>
    <row r="25" spans="1:200" ht="16.5" thickBot="1" x14ac:dyDescent="0.3">
      <c r="A25" s="47" t="s">
        <v>624</v>
      </c>
      <c r="B25" s="160" t="e">
        <f>INDEX($AG:$AJ, MATCH($C$3,$AG:$AG,0), MATCH("Range Name",$AG$2:$AJ$2,0))</f>
        <v>#N/A</v>
      </c>
      <c r="C25" s="73"/>
      <c r="D25" s="72" t="s">
        <v>496</v>
      </c>
      <c r="E25" s="298" t="str">
        <f>IF(G30 ="Single", "There ain't none","Smth White w/Logo")</f>
        <v>Smth White w/Logo</v>
      </c>
      <c r="F25" s="298" t="str">
        <f>IF(G30="Single", "No Option", "Change to")</f>
        <v>Change to</v>
      </c>
      <c r="G25" s="200"/>
      <c r="H25" s="360" t="str">
        <f>IF(G25="","",0*Q25/P25)</f>
        <v/>
      </c>
      <c r="I25" s="183"/>
      <c r="J25" s="216"/>
      <c r="K25" s="178"/>
      <c r="L25" s="218"/>
      <c r="M25" s="219"/>
      <c r="N25" s="302"/>
      <c r="O25" s="357" t="str">
        <f t="shared" si="66"/>
        <v>LB L8 1200102</v>
      </c>
      <c r="P25" s="311">
        <f t="shared" si="67"/>
        <v>1400</v>
      </c>
      <c r="Q25" s="311">
        <f t="shared" si="68"/>
        <v>1400</v>
      </c>
      <c r="R25" s="48"/>
      <c r="X25" s="348">
        <f ca="1">COUNTIF(I22:I49,"*INVALID SELECTION*")</f>
        <v>0</v>
      </c>
      <c r="Y25" s="22" t="s">
        <v>962</v>
      </c>
      <c r="AE25" t="str">
        <f>IF(G30="Single", "Even Less","Clr w/Script Logo")</f>
        <v>Clr w/Script Logo</v>
      </c>
      <c r="AG25" s="144" t="s">
        <v>448</v>
      </c>
      <c r="AH25" s="146" t="s">
        <v>815</v>
      </c>
      <c r="AI25" s="45" t="s">
        <v>410</v>
      </c>
      <c r="AJ25" s="147" t="s">
        <v>620</v>
      </c>
      <c r="AK25" s="148" t="s">
        <v>448</v>
      </c>
      <c r="AL25" s="28"/>
      <c r="AM25" s="144" t="e">
        <f>INDEX(AM3:AR14,MATCH(CONCATENATE(C2," ",AN19),AM3:AM14,0),6)</f>
        <v>#N/A</v>
      </c>
      <c r="AN25" s="28"/>
      <c r="AO25" s="28" t="s">
        <v>882</v>
      </c>
      <c r="AP25" s="28"/>
      <c r="AQ25" s="28"/>
      <c r="AR25" s="28"/>
      <c r="AS25" s="28"/>
      <c r="AT25" s="1" t="s">
        <v>464</v>
      </c>
      <c r="AU25" s="5" t="s">
        <v>454</v>
      </c>
      <c r="AV25" s="3" t="s">
        <v>454</v>
      </c>
      <c r="AW25" s="10" t="s">
        <v>472</v>
      </c>
      <c r="AX25" s="2" t="s">
        <v>455</v>
      </c>
      <c r="BC25" s="26" t="s">
        <v>111</v>
      </c>
      <c r="BD25" s="11" t="s">
        <v>105</v>
      </c>
      <c r="BE25" s="12"/>
      <c r="BF25" t="s">
        <v>545</v>
      </c>
      <c r="BG25" s="15" t="s">
        <v>111</v>
      </c>
      <c r="BH25" s="11" t="s">
        <v>102</v>
      </c>
      <c r="BK25" s="15" t="s">
        <v>111</v>
      </c>
      <c r="BL25" s="11" t="s">
        <v>103</v>
      </c>
      <c r="BO25" s="15" t="s">
        <v>111</v>
      </c>
      <c r="BP25" s="11" t="s">
        <v>104</v>
      </c>
      <c r="BR25" s="15" t="s">
        <v>111</v>
      </c>
      <c r="BS25" s="11" t="s">
        <v>756</v>
      </c>
      <c r="BU25" s="246"/>
      <c r="BV25" s="236"/>
      <c r="CC25" s="243" t="s">
        <v>1027</v>
      </c>
      <c r="CD25" s="313">
        <v>0</v>
      </c>
      <c r="CE25" s="242"/>
      <c r="CF25" s="246"/>
      <c r="CM25" s="288" t="s">
        <v>21</v>
      </c>
      <c r="CN25" s="27" t="str">
        <f t="shared" si="3"/>
        <v>Floor.13x14 Floor Tom</v>
      </c>
      <c r="CO25" s="12" t="s">
        <v>45</v>
      </c>
      <c r="CP25" s="93" t="str">
        <f t="shared" si="4"/>
        <v>MLLCLL</v>
      </c>
      <c r="CQ25" s="285" t="s">
        <v>831</v>
      </c>
      <c r="CR25" s="285" t="s">
        <v>829</v>
      </c>
      <c r="CS25" s="285" t="s">
        <v>731</v>
      </c>
      <c r="CT25" s="285"/>
      <c r="CU25" s="285"/>
      <c r="CV25" s="285"/>
      <c r="CW25" s="285"/>
      <c r="CX25" s="285"/>
      <c r="CY25" s="24"/>
      <c r="DA25" s="107"/>
      <c r="DB25" s="107"/>
      <c r="DC25" s="41"/>
      <c r="DD25" s="90"/>
      <c r="DH25" t="s">
        <v>385</v>
      </c>
      <c r="DI25" s="90" t="s">
        <v>14</v>
      </c>
      <c r="DJ25" s="31" t="s">
        <v>15</v>
      </c>
      <c r="DK25" s="24" t="s">
        <v>641</v>
      </c>
      <c r="DL25" s="24"/>
      <c r="DM25" s="24"/>
      <c r="DN25" s="27"/>
      <c r="DO25" s="45"/>
      <c r="DP25" s="45"/>
      <c r="DQ25" s="41"/>
      <c r="DS25" s="41"/>
      <c r="DT25" s="41" t="s">
        <v>414</v>
      </c>
      <c r="DU25" s="41"/>
      <c r="DV25" s="41"/>
      <c r="DW25" s="41"/>
      <c r="DX25" s="41"/>
      <c r="DY25" s="41"/>
      <c r="DZ25" s="41"/>
      <c r="EA25" s="41"/>
      <c r="EB25" s="41"/>
      <c r="EC25" s="41"/>
      <c r="ED25" s="41" t="s">
        <v>21</v>
      </c>
      <c r="EE25" t="str">
        <f>IF($C$2="Classic Oak","Double 45",IF(OR($C$2="Legacy Exotic",$C$2="Legacy Mahogany",$C$2="Legacy Maple"),"Legacy Edges",IF($C$2="Classic Maple", IF($G$41="","Single 45",$G$41))))</f>
        <v>Single 45</v>
      </c>
      <c r="EF25" s="45"/>
      <c r="EI25" s="46"/>
      <c r="EJ25" s="32"/>
      <c r="EL25" s="102"/>
      <c r="EM25" s="336"/>
      <c r="EN25" s="190"/>
      <c r="EO25" s="43"/>
      <c r="EP25" s="43"/>
      <c r="EQ25" s="140"/>
      <c r="EV25" s="105">
        <v>25</v>
      </c>
      <c r="EW25" s="64" t="str">
        <f t="shared" si="70"/>
        <v>Option Hoop Named Range</v>
      </c>
      <c r="EX25" s="14" t="e">
        <f t="shared" si="71"/>
        <v>#N/A</v>
      </c>
      <c r="EY25" s="304"/>
      <c r="EZ25" s="14" t="str">
        <f t="shared" si="72"/>
        <v>Front Head</v>
      </c>
      <c r="FA25" t="str">
        <f t="shared" si="65"/>
        <v>Smth White w/Logo</v>
      </c>
      <c r="FB25" t="str">
        <f t="shared" si="69"/>
        <v>Change to</v>
      </c>
      <c r="FC25">
        <f t="shared" si="69"/>
        <v>0</v>
      </c>
      <c r="FF25" t="s">
        <v>557</v>
      </c>
      <c r="FN25" s="73"/>
      <c r="FO25" s="19"/>
      <c r="FP25" s="171"/>
      <c r="FQ25" s="19"/>
      <c r="FR25" s="332" t="s">
        <v>1234</v>
      </c>
      <c r="FS25" s="19"/>
      <c r="FT25" s="19"/>
      <c r="FU25" s="19"/>
      <c r="GD25" s="82" t="s">
        <v>527</v>
      </c>
      <c r="GE25" s="124" t="str">
        <f>IF(AND($B$8="Snare",$G$44 &lt;&gt;""), $G$44, IF($B$8="Snare", $E$44,""))</f>
        <v/>
      </c>
      <c r="GF25" s="124" t="str">
        <f>IF(AND($B$9="Snare",$G$44 &lt;&gt;""), $G$44, IF($B$9="Snare", $E$44,""))</f>
        <v/>
      </c>
      <c r="GG25" s="124" t="str">
        <f>IF(AND($B$10="Snare",$G$44 &lt;&gt;""), $G$44, IF($B$10="Snare", $E$44,""))</f>
        <v/>
      </c>
      <c r="GH25" s="124" t="str">
        <f>IF(AND($B$11="Snare",$G$44 &lt;&gt;""), $G$44, IF($B$11="Snare", $E$44,""))</f>
        <v/>
      </c>
      <c r="GI25" s="124" t="str">
        <f>IF(AND($B$12="Snare",$G$44 &lt;&gt;""), $G$44, IF($B$12="Snare", $E$44,""))</f>
        <v/>
      </c>
      <c r="GJ25" s="124" t="str">
        <f>IF(AND($B$13="Snare",$G$44 &lt;&gt;""), $G$44, IF($B$13="Snare", $E$44,""))</f>
        <v/>
      </c>
      <c r="GK25" s="124" t="str">
        <f>IF(AND($B$14="Snare",$G$44 &lt;&gt;""), $G$44, IF($B$14="Snare", $E$44,""))</f>
        <v/>
      </c>
      <c r="GL25" s="88" t="str">
        <f>IF(AND($B$15="Snare",$G$44 &lt;&gt;""), $G$44, IF($B$15="Snare", $E$44,""))</f>
        <v/>
      </c>
      <c r="GM25" s="88" t="str">
        <f>IF(AND($B$16="Snare",$G$44 &lt;&gt;""), $G$44, IF($B$16="Snare", $E$44,""))</f>
        <v/>
      </c>
      <c r="GN25" s="88" t="str">
        <f>IF(AND($B$17="Snare",$G$44 &lt;&gt;""), $G$44, IF($B$17="Snare", $E$44,""))</f>
        <v/>
      </c>
      <c r="GO25" s="88" t="str">
        <f>IF(AND($B$18="Snare",$G$44 &lt;&gt;""), $G$44, IF($B$18="Snare", $E$44,""))</f>
        <v/>
      </c>
      <c r="GP25" s="88" t="str">
        <f>IF(AND($B$19="Snare",$G$44 &lt;&gt;""), $G$44, IF($B$19="Snare", $E$44,""))</f>
        <v/>
      </c>
      <c r="GQ25" s="88" t="str">
        <f>IF(AND($B$20="Snare",$G$44 &lt;&gt;""), $G$44, IF($B$20="Snare", $E$44,""))</f>
        <v/>
      </c>
    </row>
    <row r="26" spans="1:200" ht="15.75" x14ac:dyDescent="0.25">
      <c r="A26" s="47" t="s">
        <v>625</v>
      </c>
      <c r="B26" s="160" t="str">
        <f>IF( OR(G22="Satin Sable w/Accent", G22 = "Satin Natural w/Accent", G22 = "Full Width Accent", G22 = "Sable Black w/Accent", G22 = "Natural w/Accent", G22 = "Matching Hoop w/Inlay", AND(E22 = "Satin Natural w/Accent",G22="")),"Wraps","Naturals")</f>
        <v>Naturals</v>
      </c>
      <c r="C26" s="73"/>
      <c r="D26" s="72" t="s">
        <v>522</v>
      </c>
      <c r="E26" s="298" t="s">
        <v>544</v>
      </c>
      <c r="F26" s="298" t="s">
        <v>526</v>
      </c>
      <c r="G26" s="107"/>
      <c r="H26" s="364"/>
      <c r="I26" s="178"/>
      <c r="J26" s="223"/>
      <c r="K26" s="178"/>
      <c r="L26" s="220"/>
      <c r="M26" s="221"/>
      <c r="N26" s="302"/>
      <c r="O26" s="357" t="str">
        <f t="shared" si="66"/>
        <v>LB L8 1200102</v>
      </c>
      <c r="P26" s="311">
        <f t="shared" si="67"/>
        <v>1400</v>
      </c>
      <c r="Q26" s="311">
        <f t="shared" si="68"/>
        <v>1400</v>
      </c>
      <c r="R26" s="305"/>
      <c r="S26" s="109"/>
      <c r="T26" t="s">
        <v>1152</v>
      </c>
      <c r="U26" s="109"/>
      <c r="V26" s="109"/>
      <c r="W26" s="109"/>
      <c r="X26" s="349" t="e">
        <f ca="1">SUM(X22:X25)</f>
        <v>#N/A</v>
      </c>
      <c r="Y26" s="22" t="s">
        <v>963</v>
      </c>
      <c r="AG26" s="144" t="s">
        <v>449</v>
      </c>
      <c r="AH26" s="146" t="s">
        <v>815</v>
      </c>
      <c r="AI26" s="45" t="s">
        <v>410</v>
      </c>
      <c r="AJ26" s="147" t="s">
        <v>620</v>
      </c>
      <c r="AK26" s="148" t="s">
        <v>449</v>
      </c>
      <c r="AL26" s="28"/>
      <c r="AN26" s="28"/>
      <c r="AO26" s="28" t="s">
        <v>883</v>
      </c>
      <c r="AP26" s="28"/>
      <c r="AQ26" s="28"/>
      <c r="AR26" s="28"/>
      <c r="AS26" s="28"/>
      <c r="AT26" s="1" t="s">
        <v>465</v>
      </c>
      <c r="AU26" s="5" t="s">
        <v>455</v>
      </c>
      <c r="AV26" s="3" t="s">
        <v>541</v>
      </c>
      <c r="AW26" s="2" t="s">
        <v>480</v>
      </c>
      <c r="AX26" s="2" t="s">
        <v>456</v>
      </c>
      <c r="BA26" s="12" t="s">
        <v>44</v>
      </c>
      <c r="BB26" s="12"/>
      <c r="BC26" s="13" t="str">
        <f t="shared" ref="BC26:BC35" si="73">$BD$1&amp;" "&amp;BD26</f>
        <v>Classic Maple 12x14 Floor Tom</v>
      </c>
      <c r="BD26" s="12" t="s">
        <v>44</v>
      </c>
      <c r="BE26" s="96"/>
      <c r="BF26" s="12"/>
      <c r="BG26" s="13" t="str">
        <f t="shared" ref="BG26:BG35" si="74">BH$1&amp;" "&amp;BH26</f>
        <v>Legacy Maple 12x14 Floor Tom</v>
      </c>
      <c r="BH26" s="12" t="s">
        <v>44</v>
      </c>
      <c r="BI26" s="98"/>
      <c r="BJ26" s="12"/>
      <c r="BK26" s="13" t="str">
        <f>BL$1&amp;" "&amp;BL26</f>
        <v>Legacy Mahogany 12x14 Floor Tom</v>
      </c>
      <c r="BL26" s="12" t="s">
        <v>44</v>
      </c>
      <c r="BM26" s="98"/>
      <c r="BN26" s="12"/>
      <c r="BO26" s="13" t="str">
        <f t="shared" ref="BO26:BO35" si="75">BP$1&amp;" "&amp;BP26</f>
        <v>Legacy Exotic 12x14 Floor Tom</v>
      </c>
      <c r="BP26" s="12" t="s">
        <v>44</v>
      </c>
      <c r="BQ26" s="94"/>
      <c r="BR26" s="40" t="s">
        <v>703</v>
      </c>
      <c r="BS26" s="12" t="s">
        <v>44</v>
      </c>
      <c r="BT26" s="238"/>
      <c r="BU26" s="239" t="s">
        <v>44</v>
      </c>
      <c r="BV26" s="240" t="s">
        <v>703</v>
      </c>
      <c r="BW26" s="241">
        <f t="shared" ref="BW26:CA35" si="76">INDEX($BV:$CA,MATCH(CONCATENATE("D",".",BW$2,".",$BV26,".",$BV$1),$BV:$BV,0),MATCH("Result",$BV$85:$CA$85,0))</f>
        <v>977</v>
      </c>
      <c r="BX26" s="241">
        <f t="shared" si="76"/>
        <v>1590</v>
      </c>
      <c r="BY26" s="241">
        <f t="shared" si="76"/>
        <v>1590</v>
      </c>
      <c r="BZ26" s="241">
        <f t="shared" si="76"/>
        <v>1710</v>
      </c>
      <c r="CA26" s="241">
        <f t="shared" si="76"/>
        <v>839</v>
      </c>
      <c r="CC26" s="243" t="s">
        <v>1028</v>
      </c>
      <c r="CD26" s="313">
        <v>0</v>
      </c>
      <c r="CE26" s="242"/>
      <c r="CF26" s="239" t="str">
        <f t="shared" ref="CF26:CF35" si="77">BU26</f>
        <v>12x14 Floor Tom</v>
      </c>
      <c r="CG26" s="130" t="s">
        <v>136</v>
      </c>
      <c r="CH26" s="130" t="s">
        <v>198</v>
      </c>
      <c r="CI26" s="130" t="s">
        <v>256</v>
      </c>
      <c r="CJ26" s="130" t="s">
        <v>314</v>
      </c>
      <c r="CK26" s="130" t="s">
        <v>779</v>
      </c>
      <c r="CL26" s="94"/>
      <c r="CM26" s="288" t="s">
        <v>21</v>
      </c>
      <c r="CN26" s="27" t="str">
        <f t="shared" si="3"/>
        <v>Floor.13x15 Floor Tom</v>
      </c>
      <c r="CO26" s="12" t="s">
        <v>47</v>
      </c>
      <c r="CP26" s="93" t="str">
        <f t="shared" si="4"/>
        <v>MLLCLL</v>
      </c>
      <c r="CQ26" s="285" t="s">
        <v>831</v>
      </c>
      <c r="CR26" s="285" t="s">
        <v>829</v>
      </c>
      <c r="CS26" s="285" t="s">
        <v>731</v>
      </c>
      <c r="CT26" s="285"/>
      <c r="CU26" s="285"/>
      <c r="CV26" s="285"/>
      <c r="CW26" s="285"/>
      <c r="CX26" s="285"/>
      <c r="CY26" s="24"/>
      <c r="DA26" s="107"/>
      <c r="DB26" s="107"/>
      <c r="DC26" s="51"/>
      <c r="DD26" s="90"/>
      <c r="DH26" s="29" t="s">
        <v>610</v>
      </c>
      <c r="DI26" s="90">
        <f>CD104</f>
        <v>0</v>
      </c>
      <c r="DJ26" s="97" t="s">
        <v>391</v>
      </c>
      <c r="DK26" s="24">
        <v>9</v>
      </c>
      <c r="DL26" s="24"/>
      <c r="DM26" s="24"/>
      <c r="DN26" s="27"/>
      <c r="DO26" s="45"/>
      <c r="DP26" s="45"/>
      <c r="DQ26" s="41"/>
      <c r="DS26" s="41"/>
      <c r="DT26" s="41" t="s">
        <v>415</v>
      </c>
      <c r="DU26" s="41"/>
      <c r="DV26" s="41"/>
      <c r="DW26" s="41"/>
      <c r="DX26" s="41"/>
      <c r="DY26" s="41"/>
      <c r="DZ26" s="41"/>
      <c r="EA26" s="41"/>
      <c r="EB26" s="41"/>
      <c r="EC26" s="41"/>
      <c r="ED26" s="41" t="s">
        <v>22</v>
      </c>
      <c r="EE26" t="str">
        <f>IF($C$2="Classic Oak","Double 45",IF(OR($C$2="Legacy Exotic",$C$2="Legacy Mahogany",$C$2="Legacy Maple"),"Legacy Edges",IF($C$2="Classic Maple", IF(G49="","Single 45",G49))))</f>
        <v>Single 45</v>
      </c>
      <c r="EF26" s="45"/>
      <c r="EI26" s="46"/>
      <c r="EJ26" s="32"/>
      <c r="EL26" s="102"/>
      <c r="EM26" s="54"/>
      <c r="EO26" s="25" t="s">
        <v>1254</v>
      </c>
      <c r="EP26" s="187" t="str">
        <f>IFERROR(INDEX(EM37:ES57,MATCH(CONCATENATE(EN22,".",EM22,".",EO22),EM37:EM57,0),7),"Spurs_FN")</f>
        <v>Spurs_FN</v>
      </c>
      <c r="EV26" s="105">
        <v>26</v>
      </c>
      <c r="EW26" s="64" t="str">
        <f t="shared" si="70"/>
        <v>Option inlay range</v>
      </c>
      <c r="EX26" s="14" t="str">
        <f t="shared" si="71"/>
        <v>Naturals</v>
      </c>
      <c r="EY26" s="304"/>
      <c r="EZ26" s="14" t="str">
        <f t="shared" si="72"/>
        <v>Batter Head</v>
      </c>
      <c r="FA26" t="str">
        <f t="shared" si="65"/>
        <v>Clear PS3</v>
      </c>
      <c r="FB26" t="str">
        <f t="shared" si="69"/>
        <v>No Option</v>
      </c>
      <c r="FC26">
        <f t="shared" si="69"/>
        <v>0</v>
      </c>
      <c r="FF26" t="s">
        <v>558</v>
      </c>
      <c r="FN26" s="73"/>
      <c r="FO26" s="19"/>
      <c r="FP26" s="171"/>
      <c r="FQ26" s="19"/>
      <c r="FR26" s="332" t="s">
        <v>1256</v>
      </c>
      <c r="FS26" s="19"/>
      <c r="FT26" s="19"/>
      <c r="FU26" s="19"/>
      <c r="GD26" s="82" t="s">
        <v>1220</v>
      </c>
      <c r="GE26" s="124" t="str">
        <f>IF(AND($B$8="Snare",$G$50 &lt;&gt;""), $G$50, IF($B$8="Snare", $E$50,""))</f>
        <v/>
      </c>
      <c r="GF26" s="124" t="str">
        <f>IF(AND($B$9="Snare",$G$50 &lt;&gt;""), $G$50, IF($B$9="Snare", $E$50,""))</f>
        <v/>
      </c>
      <c r="GG26" s="124" t="str">
        <f>IF(AND($B$10="Snare",$G$50 &lt;&gt;""), $G$50, IF($B$10="Snare", $E$50,""))</f>
        <v/>
      </c>
      <c r="GH26" s="124" t="str">
        <f>IF(AND($B$11="Snare",$G$50 &lt;&gt;""), $G$50, IF($B$11="Snare", $E$50,""))</f>
        <v/>
      </c>
      <c r="GI26" s="124" t="str">
        <f>IF(AND($B$12="Snare",$G$50 &lt;&gt;""), $G$50, IF($B$12="Snare", $E$50,""))</f>
        <v/>
      </c>
      <c r="GJ26" s="124" t="str">
        <f>IF(AND($B$13="Snare",$G$50 &lt;&gt;""), $G$50, IF($B$13="Snare", $E$50,""))</f>
        <v/>
      </c>
      <c r="GK26" s="124" t="str">
        <f>IF(AND($B$14="Snare",$G$50 &lt;&gt;""), $G$50, IF($B$14="Snare", $E$50,""))</f>
        <v/>
      </c>
      <c r="GL26" s="88" t="str">
        <f>IF(AND($B$15="Snare",$G$50 &lt;&gt;""), $G$50, IF($B$15="Snare", $E$50,""))</f>
        <v/>
      </c>
      <c r="GM26" s="88" t="str">
        <f>IF(AND($B$16="Snare",$G$50 &lt;&gt;""), $G$50, IF($B$16="Snare", $E$50,""))</f>
        <v/>
      </c>
      <c r="GN26" s="88" t="str">
        <f>IF(AND($B$17="Snare",$G$50 &lt;&gt;""), $G$50, IF($B$17="Snare", $E$50,""))</f>
        <v/>
      </c>
      <c r="GO26" s="88" t="str">
        <f>IF(AND($B$18="Snare",$G$50 &lt;&gt;""), $G$50, IF($B$18="Snare", $E$50,""))</f>
        <v/>
      </c>
      <c r="GP26" s="88" t="str">
        <f>IF(AND($B$19="Snare",$G$50 &lt;&gt;""), $G$50, IF($B$19="Snare", $E$50,""))</f>
        <v/>
      </c>
      <c r="GQ26" s="88" t="str">
        <f>IF(AND($B$20="Snare",$G$50 &lt;&gt;""), $G$50, IF($B$20="Snare", $E$50,""))</f>
        <v/>
      </c>
    </row>
    <row r="27" spans="1:200" ht="15.75" x14ac:dyDescent="0.25">
      <c r="A27" s="48"/>
      <c r="B27" s="160" t="str">
        <f>IF( OR(ISNUMBER(SEARCH("Accent",$G$22))=TRUE, (ISNUMBER(SEARCH("ing Hoop with In",G23))=TRUE)),"Get the List","Nothing to do")</f>
        <v>Nothing to do</v>
      </c>
      <c r="C27" s="73"/>
      <c r="D27" s="72" t="s">
        <v>981</v>
      </c>
      <c r="E27" s="298" t="s">
        <v>519</v>
      </c>
      <c r="F27" s="298" t="str">
        <f>IF(EH21&gt;0,"No Option", "Change to")</f>
        <v>Change to</v>
      </c>
      <c r="G27" s="297"/>
      <c r="H27" s="360" t="str">
        <f>IF(G27="T-Handles",CD181*Q27/P27,"")</f>
        <v/>
      </c>
      <c r="I27" s="183" t="str">
        <f>IF($G$27="","",IF(ISERROR(MATCH($G$27,bd_screws,0))=FALSE,"","Invalid Selection"))</f>
        <v/>
      </c>
      <c r="J27" s="223"/>
      <c r="K27" s="178"/>
      <c r="L27" s="224"/>
      <c r="M27" s="221"/>
      <c r="N27" s="302"/>
      <c r="O27" s="357" t="str">
        <f t="shared" si="66"/>
        <v>LB L8 1200102</v>
      </c>
      <c r="P27" s="311">
        <f t="shared" si="67"/>
        <v>1400</v>
      </c>
      <c r="Q27" s="311">
        <f t="shared" si="68"/>
        <v>1400</v>
      </c>
      <c r="R27" s="305"/>
      <c r="S27" s="283" t="s">
        <v>1097</v>
      </c>
      <c r="T27" s="283"/>
      <c r="U27" s="283"/>
      <c r="V27" s="283"/>
      <c r="W27" s="283"/>
      <c r="X27" s="283"/>
      <c r="Y27" s="125"/>
      <c r="Z27" s="125"/>
      <c r="AA27" s="125"/>
      <c r="AG27" s="144" t="s">
        <v>450</v>
      </c>
      <c r="AH27" s="146" t="s">
        <v>815</v>
      </c>
      <c r="AI27" s="45" t="s">
        <v>410</v>
      </c>
      <c r="AJ27" s="147" t="s">
        <v>620</v>
      </c>
      <c r="AK27" s="148" t="s">
        <v>450</v>
      </c>
      <c r="AL27" s="28"/>
      <c r="AN27" s="28"/>
      <c r="AO27" s="28"/>
      <c r="AP27" s="28"/>
      <c r="AQ27" s="28"/>
      <c r="AR27" s="28"/>
      <c r="AS27" s="28"/>
      <c r="AT27" s="1" t="s">
        <v>477</v>
      </c>
      <c r="AU27" s="4" t="s">
        <v>456</v>
      </c>
      <c r="AV27" s="2" t="s">
        <v>455</v>
      </c>
      <c r="AW27" s="1" t="s">
        <v>994</v>
      </c>
      <c r="AX27" s="2" t="s">
        <v>457</v>
      </c>
      <c r="BA27" s="12" t="s">
        <v>45</v>
      </c>
      <c r="BB27" s="12"/>
      <c r="BC27" s="13" t="str">
        <f t="shared" si="73"/>
        <v>Classic Maple 13x14 Floor Tom</v>
      </c>
      <c r="BD27" s="12" t="s">
        <v>45</v>
      </c>
      <c r="BE27" s="96"/>
      <c r="BF27" s="12"/>
      <c r="BG27" s="13" t="str">
        <f t="shared" si="74"/>
        <v>Legacy Maple 13x14 Floor Tom</v>
      </c>
      <c r="BH27" s="12" t="s">
        <v>45</v>
      </c>
      <c r="BI27" s="98"/>
      <c r="BJ27" s="12"/>
      <c r="BK27" s="13" t="str">
        <f t="shared" ref="BK27:BK35" si="78">BL$1&amp;" "&amp;BL27</f>
        <v>Legacy Mahogany 13x14 Floor Tom</v>
      </c>
      <c r="BL27" s="12" t="s">
        <v>45</v>
      </c>
      <c r="BM27" s="98"/>
      <c r="BN27" s="12"/>
      <c r="BO27" s="13" t="str">
        <f t="shared" si="75"/>
        <v>Legacy Exotic 13x14 Floor Tom</v>
      </c>
      <c r="BP27" s="12" t="s">
        <v>45</v>
      </c>
      <c r="BQ27" s="94"/>
      <c r="BR27" s="40" t="s">
        <v>704</v>
      </c>
      <c r="BS27" s="12" t="s">
        <v>45</v>
      </c>
      <c r="BT27" s="238"/>
      <c r="BU27" s="239" t="s">
        <v>45</v>
      </c>
      <c r="BV27" s="240" t="s">
        <v>704</v>
      </c>
      <c r="BW27" s="241">
        <f t="shared" si="76"/>
        <v>977</v>
      </c>
      <c r="BX27" s="241">
        <f t="shared" si="76"/>
        <v>1590</v>
      </c>
      <c r="BY27" s="241">
        <f t="shared" si="76"/>
        <v>1590</v>
      </c>
      <c r="BZ27" s="241">
        <f t="shared" si="76"/>
        <v>1710</v>
      </c>
      <c r="CA27" s="241">
        <f t="shared" si="76"/>
        <v>839</v>
      </c>
      <c r="CC27" s="243" t="s">
        <v>1029</v>
      </c>
      <c r="CD27" s="313">
        <v>0</v>
      </c>
      <c r="CE27" s="242"/>
      <c r="CF27" s="239" t="str">
        <f t="shared" si="77"/>
        <v>13x14 Floor Tom</v>
      </c>
      <c r="CG27" s="130" t="s">
        <v>137</v>
      </c>
      <c r="CH27" s="130" t="s">
        <v>199</v>
      </c>
      <c r="CI27" s="130" t="s">
        <v>257</v>
      </c>
      <c r="CJ27" s="130" t="s">
        <v>315</v>
      </c>
      <c r="CK27" s="130" t="s">
        <v>780</v>
      </c>
      <c r="CL27" s="94"/>
      <c r="CM27" s="288" t="s">
        <v>21</v>
      </c>
      <c r="CN27" s="27" t="str">
        <f t="shared" si="3"/>
        <v>Floor.13x16 Floor tom</v>
      </c>
      <c r="CO27" s="12" t="s">
        <v>49</v>
      </c>
      <c r="CP27" s="93" t="str">
        <f t="shared" si="4"/>
        <v>MLLCLL</v>
      </c>
      <c r="CQ27" s="285" t="s">
        <v>831</v>
      </c>
      <c r="CR27" s="285" t="s">
        <v>829</v>
      </c>
      <c r="CS27" s="285" t="s">
        <v>731</v>
      </c>
      <c r="CT27" s="285"/>
      <c r="CU27" s="285"/>
      <c r="CV27" s="285"/>
      <c r="CW27" s="285"/>
      <c r="CX27" s="285"/>
      <c r="CY27" s="24"/>
      <c r="DA27" s="107"/>
      <c r="DB27" s="107"/>
      <c r="DC27" s="51"/>
      <c r="DD27" s="90"/>
      <c r="DH27" s="29" t="s">
        <v>378</v>
      </c>
      <c r="DI27" s="90">
        <f>CD105</f>
        <v>0</v>
      </c>
      <c r="DJ27" s="97" t="s">
        <v>386</v>
      </c>
      <c r="DK27" s="24">
        <v>0</v>
      </c>
      <c r="DL27" s="24"/>
      <c r="DM27" s="24"/>
      <c r="DN27" s="27"/>
      <c r="DO27" s="45"/>
      <c r="DP27" s="45"/>
      <c r="DQ27" s="41"/>
      <c r="DS27" s="41"/>
      <c r="DT27" s="41" t="s">
        <v>421</v>
      </c>
      <c r="DU27" s="41"/>
      <c r="DV27" s="41"/>
      <c r="DW27" s="41"/>
      <c r="DX27" s="41"/>
      <c r="DY27" s="41"/>
      <c r="DZ27" s="41"/>
      <c r="EA27" s="41"/>
      <c r="EB27" s="41"/>
      <c r="EC27" s="41"/>
      <c r="ED27" s="41"/>
      <c r="EF27" s="45"/>
      <c r="EI27" s="46"/>
      <c r="EJ27" s="32"/>
      <c r="EL27" s="102"/>
      <c r="EO27" t="s">
        <v>1253</v>
      </c>
      <c r="EP27" s="31" t="str">
        <f>IFERROR(INDEX(EM37:ET57,MATCH(CONCATENATE(EN22,".",EM22,".",EO22),EM37:EM57,0),8),"Elite Kick Style")</f>
        <v>Elite Kick Style</v>
      </c>
      <c r="EV27" s="105">
        <v>27</v>
      </c>
      <c r="EW27" s="64">
        <f t="shared" si="70"/>
        <v>0</v>
      </c>
      <c r="EX27" s="14" t="str">
        <f t="shared" si="71"/>
        <v>Nothing to do</v>
      </c>
      <c r="EY27" s="304"/>
      <c r="EZ27" s="14" t="str">
        <f t="shared" si="72"/>
        <v>Tension Rods</v>
      </c>
      <c r="FA27" t="str">
        <f t="shared" si="65"/>
        <v>Keyrods</v>
      </c>
      <c r="FB27" t="str">
        <f t="shared" si="69"/>
        <v>Change to</v>
      </c>
      <c r="FC27">
        <f t="shared" si="69"/>
        <v>0</v>
      </c>
      <c r="FN27" s="73" t="s">
        <v>927</v>
      </c>
      <c r="FO27" s="19"/>
      <c r="FP27" s="171"/>
      <c r="FQ27" s="19"/>
      <c r="FS27" s="332"/>
      <c r="FU27" s="19"/>
      <c r="GD27" s="82" t="s">
        <v>907</v>
      </c>
      <c r="GE27" s="176" t="str">
        <f>IF(AND($B$8="Snare",$G$46 &lt;&gt;""), $G$46, IF($B$8="Snare", $E$46,""))</f>
        <v/>
      </c>
      <c r="GF27" s="176" t="str">
        <f>IF(AND($B$9="Snare",$G$46 &lt;&gt;""), $G$46, IF($B$9="Snare", $E$46,""))</f>
        <v/>
      </c>
      <c r="GG27" s="176" t="str">
        <f>IF(AND($B$10="Snare",$G$46 &lt;&gt;""), $G$46, IF($B$10="Snare", $E$46,""))</f>
        <v/>
      </c>
      <c r="GH27" s="176" t="str">
        <f>IF(AND($B$11="Snare",$G$46 &lt;&gt;""), $G$46, IF($B$11="Snare", $E$46,""))</f>
        <v/>
      </c>
      <c r="GI27" s="176" t="str">
        <f>IF(AND($B$12="Snare",$G$46 &lt;&gt;""), $G$46, IF($B$12="Snare", $E$46,""))</f>
        <v/>
      </c>
      <c r="GJ27" s="176" t="str">
        <f>IF(AND($B$13="Snare",$G$46 &lt;&gt;""), $G$46, IF($B$13="Snare", $E$46,""))</f>
        <v/>
      </c>
      <c r="GK27" s="176" t="str">
        <f>IF(AND($B$14="Snare",$G$46 &lt;&gt;""), $G$46, IF($B$14="Snare", $E$46,""))</f>
        <v/>
      </c>
      <c r="GL27" s="177" t="str">
        <f>IF(AND($B$15="Snare",$G$46 &lt;&gt;""), $G$46, IF($B$15="Snare", $E$46,""))</f>
        <v/>
      </c>
      <c r="GM27" s="177" t="str">
        <f>IF(AND($B$16="Snare",$G$46 &lt;&gt;""), $G$46, IF($B$16="Snare", $E$46,""))</f>
        <v/>
      </c>
      <c r="GN27" s="177" t="str">
        <f>IF(AND($B$17="Snare",$G$46 &lt;&gt;""), $G$46, IF($B$17="Snare", $E$46,""))</f>
        <v/>
      </c>
      <c r="GO27" s="177" t="str">
        <f>IF(AND($B$18="Snare",$G$46 &lt;&gt;""), $G$46, IF($B$18="Snare", $E$46,""))</f>
        <v/>
      </c>
      <c r="GP27" s="177" t="str">
        <f>IF(AND($B$19="Snare",$G$46 &lt;&gt;""), $G$46, IF($B$19="Snare", $E$46,""))</f>
        <v/>
      </c>
      <c r="GQ27" s="177" t="str">
        <f>IF(AND($B$20="Snare",$G$46 &lt;&gt;""), $G$46, IF($B$20="Snare", $E$46,""))</f>
        <v/>
      </c>
    </row>
    <row r="28" spans="1:200" ht="16.5" thickBot="1" x14ac:dyDescent="0.3">
      <c r="A28" s="48"/>
      <c r="B28" s="160"/>
      <c r="C28" s="110"/>
      <c r="D28" s="72" t="s">
        <v>550</v>
      </c>
      <c r="E28" s="298" t="s">
        <v>521</v>
      </c>
      <c r="F28" s="298" t="str">
        <f>IF(DM17=0,"Change to","No Option")</f>
        <v>Change to</v>
      </c>
      <c r="G28" s="297"/>
      <c r="H28" s="360" t="str">
        <f>IF(OR(G28="No Shell Mount",G28=""),"",(INDEX(CC185:CD187,MATCH(G28,CC185:CC187,0),2))*Q28/P28)</f>
        <v/>
      </c>
      <c r="I28" s="183" t="str">
        <f ca="1">IF($G$28="","",IF(ISERROR(MATCH($G$28,INDIRECT(DN19),0))=FALSE,"","Invalid Selection"))</f>
        <v/>
      </c>
      <c r="J28" s="223"/>
      <c r="K28" s="178"/>
      <c r="L28" s="220"/>
      <c r="M28" s="221"/>
      <c r="N28" s="302"/>
      <c r="O28" s="357" t="str">
        <f t="shared" si="66"/>
        <v>LB L8 1200102</v>
      </c>
      <c r="P28" s="311">
        <f t="shared" si="67"/>
        <v>1400</v>
      </c>
      <c r="Q28" s="311">
        <f t="shared" si="68"/>
        <v>1400</v>
      </c>
      <c r="R28" s="305"/>
      <c r="T28" s="283" t="s">
        <v>1096</v>
      </c>
      <c r="W28" s="283"/>
      <c r="X28" s="283"/>
      <c r="Y28" s="125"/>
      <c r="Z28" s="125"/>
      <c r="AA28" s="125"/>
      <c r="AG28" s="144" t="s">
        <v>451</v>
      </c>
      <c r="AH28" s="146" t="s">
        <v>815</v>
      </c>
      <c r="AI28" s="45" t="s">
        <v>410</v>
      </c>
      <c r="AJ28" s="147" t="s">
        <v>620</v>
      </c>
      <c r="AK28" s="148" t="s">
        <v>451</v>
      </c>
      <c r="AL28" s="28"/>
      <c r="AN28" s="28"/>
      <c r="AO28" s="28"/>
      <c r="AP28" s="28"/>
      <c r="AQ28" s="28"/>
      <c r="AR28" s="28"/>
      <c r="AS28" s="28"/>
      <c r="AT28" s="1" t="s">
        <v>476</v>
      </c>
      <c r="AU28" s="4" t="s">
        <v>457</v>
      </c>
      <c r="AV28" s="2" t="s">
        <v>456</v>
      </c>
      <c r="AX28" s="114" t="s">
        <v>13</v>
      </c>
      <c r="BA28" s="12" t="s">
        <v>46</v>
      </c>
      <c r="BB28" s="12"/>
      <c r="BC28" s="13" t="str">
        <f t="shared" si="73"/>
        <v>Classic Maple 14x14 Floor Tom</v>
      </c>
      <c r="BD28" s="12" t="s">
        <v>46</v>
      </c>
      <c r="BE28" s="96"/>
      <c r="BF28" s="12"/>
      <c r="BG28" s="13" t="str">
        <f t="shared" si="74"/>
        <v>Legacy Maple 14x14 Floor Tom</v>
      </c>
      <c r="BH28" s="12" t="s">
        <v>46</v>
      </c>
      <c r="BI28" s="98"/>
      <c r="BJ28" s="12"/>
      <c r="BK28" s="13" t="str">
        <f t="shared" si="78"/>
        <v>Legacy Mahogany 14x14 Floor Tom</v>
      </c>
      <c r="BL28" s="12" t="s">
        <v>46</v>
      </c>
      <c r="BM28" s="98"/>
      <c r="BN28" s="12"/>
      <c r="BO28" s="13" t="str">
        <f t="shared" si="75"/>
        <v>Legacy Exotic 14x14 Floor Tom</v>
      </c>
      <c r="BP28" s="12" t="s">
        <v>46</v>
      </c>
      <c r="BQ28" s="94"/>
      <c r="BR28" s="40" t="s">
        <v>705</v>
      </c>
      <c r="BS28" s="12" t="s">
        <v>46</v>
      </c>
      <c r="BT28" s="238"/>
      <c r="BU28" s="239" t="s">
        <v>46</v>
      </c>
      <c r="BV28" s="240" t="s">
        <v>705</v>
      </c>
      <c r="BW28" s="241">
        <f t="shared" si="76"/>
        <v>977</v>
      </c>
      <c r="BX28" s="241">
        <f t="shared" si="76"/>
        <v>1590</v>
      </c>
      <c r="BY28" s="241">
        <f t="shared" si="76"/>
        <v>1590</v>
      </c>
      <c r="BZ28" s="241">
        <f t="shared" si="76"/>
        <v>1710</v>
      </c>
      <c r="CA28" s="241">
        <f t="shared" si="76"/>
        <v>839</v>
      </c>
      <c r="CC28" s="243" t="s">
        <v>1030</v>
      </c>
      <c r="CD28" s="313">
        <v>0</v>
      </c>
      <c r="CE28" s="242"/>
      <c r="CF28" s="239" t="str">
        <f t="shared" si="77"/>
        <v>14x14 Floor Tom</v>
      </c>
      <c r="CG28" s="130" t="s">
        <v>138</v>
      </c>
      <c r="CH28" s="130" t="s">
        <v>200</v>
      </c>
      <c r="CI28" s="130" t="s">
        <v>258</v>
      </c>
      <c r="CJ28" s="130" t="s">
        <v>316</v>
      </c>
      <c r="CK28" s="130" t="s">
        <v>781</v>
      </c>
      <c r="CL28" s="94"/>
      <c r="CM28" s="288" t="s">
        <v>21</v>
      </c>
      <c r="CN28" s="27" t="str">
        <f t="shared" si="3"/>
        <v>Floor.14x14 Floor Tom</v>
      </c>
      <c r="CO28" s="12" t="s">
        <v>46</v>
      </c>
      <c r="CP28" s="93" t="str">
        <f t="shared" si="4"/>
        <v>MLLCLLLILT</v>
      </c>
      <c r="CQ28" s="285" t="s">
        <v>831</v>
      </c>
      <c r="CR28" s="285" t="s">
        <v>829</v>
      </c>
      <c r="CS28" s="285" t="s">
        <v>731</v>
      </c>
      <c r="CT28" s="285" t="s">
        <v>830</v>
      </c>
      <c r="CU28" s="285" t="s">
        <v>832</v>
      </c>
      <c r="CV28" s="285"/>
      <c r="CW28" s="285"/>
      <c r="CX28" s="285"/>
      <c r="CY28" s="24"/>
      <c r="DC28" s="51"/>
      <c r="DD28" s="90"/>
      <c r="DH28" s="29" t="s">
        <v>379</v>
      </c>
      <c r="DI28" s="90">
        <f>CD106</f>
        <v>0</v>
      </c>
      <c r="DJ28" s="97" t="s">
        <v>403</v>
      </c>
      <c r="DK28" s="24">
        <v>12</v>
      </c>
      <c r="DL28" s="24"/>
      <c r="DM28" s="24"/>
      <c r="DN28" s="27"/>
      <c r="DO28" s="45"/>
      <c r="DP28" s="45"/>
      <c r="DQ28" s="41"/>
      <c r="DS28" s="41"/>
      <c r="DT28" s="41" t="s">
        <v>422</v>
      </c>
      <c r="DU28" s="41"/>
      <c r="DV28" s="41"/>
      <c r="DW28" s="41"/>
      <c r="DX28" s="41"/>
      <c r="DY28" s="41"/>
      <c r="DZ28" s="41"/>
      <c r="EA28" s="41"/>
      <c r="EB28" s="41"/>
      <c r="EC28" s="41"/>
      <c r="ED28" s="41"/>
      <c r="EF28" s="45"/>
      <c r="EI28" s="46"/>
      <c r="EJ28" s="32"/>
      <c r="EK28" s="35"/>
      <c r="EL28" s="102"/>
      <c r="EM28" s="335" t="s">
        <v>1240</v>
      </c>
      <c r="EN28" s="141"/>
      <c r="EO28" s="142" t="s">
        <v>1241</v>
      </c>
      <c r="EV28" s="105">
        <v>28</v>
      </c>
      <c r="EW28" s="64">
        <f t="shared" si="70"/>
        <v>0</v>
      </c>
      <c r="EX28" s="14">
        <f t="shared" si="71"/>
        <v>0</v>
      </c>
      <c r="EY28" s="24"/>
      <c r="EZ28" s="14" t="str">
        <f t="shared" si="72"/>
        <v>Shell Mount</v>
      </c>
      <c r="FA28" t="str">
        <f t="shared" si="65"/>
        <v>None</v>
      </c>
      <c r="FB28" t="str">
        <f t="shared" si="69"/>
        <v>Change to</v>
      </c>
      <c r="FC28">
        <f t="shared" si="69"/>
        <v>0</v>
      </c>
      <c r="FN28" s="73" t="s">
        <v>928</v>
      </c>
      <c r="FO28" s="19"/>
      <c r="FP28" s="171"/>
      <c r="FQ28" s="19"/>
      <c r="FR28" s="25" t="s">
        <v>1264</v>
      </c>
      <c r="FS28" s="126" t="str">
        <f>IF(FS21="Yes",FR31,FR32)</f>
        <v>sdBedNoChoice</v>
      </c>
      <c r="FT28" s="332"/>
      <c r="FU28" s="19"/>
      <c r="GD28" s="82" t="s">
        <v>551</v>
      </c>
      <c r="GE28" s="123" t="str">
        <f>IF($B$8="","",INDEX($Z$58:$AD$60,MATCH("Batter",$Z$58:$Z$60,0), MATCH($B$8,$Z$58:$AD$58,0)))</f>
        <v/>
      </c>
      <c r="GF28" s="123" t="str">
        <f>IF($B$9="","",INDEX($Z$58:$AD$60,MATCH("Batter",$Z$58:$Z$60,0), MATCH($B$9,$Z$58:$AD$58,0)))</f>
        <v/>
      </c>
      <c r="GG28" s="123" t="str">
        <f>IF($B$10="","",INDEX($Z$58:$AD$60,MATCH("Batter",$Z$58:$Z$60,0), MATCH($B$10,$Z$58:$AD$58,0)))</f>
        <v/>
      </c>
      <c r="GH28" s="123" t="str">
        <f>IF($B$11="","",INDEX($Z$58:$AD$60,MATCH("Batter",$Z$58:$Z$60,0), MATCH($B$11,$Z$58:$AD$58,0)))</f>
        <v/>
      </c>
      <c r="GI28" s="123" t="str">
        <f>IF($B$12="","",INDEX($Z$58:$AD$60,MATCH("Batter",$Z$58:$Z$60,0), MATCH($B$12,$Z$58:$AD$58,0)))</f>
        <v/>
      </c>
      <c r="GJ28" s="123" t="str">
        <f>IF($B$13="","",INDEX($Z$58:$AD$60,MATCH("Batter",$Z$58:$Z$60,0), MATCH($B$13,$Z$58:$AD$58,0)))</f>
        <v/>
      </c>
      <c r="GK28" s="123" t="str">
        <f>IF($B$14="","",INDEX($Z$58:$AD$60,MATCH("Batter",$Z$58:$Z$60,0), MATCH($B$14,$Z$58:$AD$58,0)))</f>
        <v/>
      </c>
      <c r="GL28" s="86" t="str">
        <f>IF($B$15="","",INDEX($Z$58:$AD$60,MATCH("Batter",$Z$58:$Z$60,0), MATCH($B$15,$Z$58:$AD$58,0)))</f>
        <v/>
      </c>
      <c r="GM28" s="86" t="str">
        <f>IF($B$16="","",INDEX($Z$58:$AD$60,MATCH("Batter",$Z$58:$Z$60,0), MATCH($B$16,$Z$58:$AD$58,0)))</f>
        <v/>
      </c>
      <c r="GN28" s="86" t="str">
        <f>IF($B$17="","",INDEX($Z$58:$AD$60,MATCH("Batter",$Z$58:$Z$60,0), MATCH($B$17,$Z$58:$AD$58,0)))</f>
        <v/>
      </c>
      <c r="GO28" s="86" t="str">
        <f>IF($B$18="","",INDEX($Z$58:$AD$60,MATCH("Batter",$Z$58:$Z$60,0), MATCH($B$18,$Z$58:$AD$58,0)))</f>
        <v/>
      </c>
      <c r="GP28" s="86" t="str">
        <f>IF($B$19="","",INDEX($Z$58:$AD$60,MATCH("Batter",$Z$58:$Z$60,0), MATCH($B$19,$Z$58:$AD$58,0)))</f>
        <v/>
      </c>
      <c r="GQ28" s="86" t="str">
        <f>IF($B$20="","",INDEX($Z$58:$AD$60,MATCH("Batter",$Z$58:$Z$60,0), MATCH($B$20,$Z$58:$AD$58,0)))</f>
        <v/>
      </c>
    </row>
    <row r="29" spans="1:200" ht="16.5" thickBot="1" x14ac:dyDescent="0.3">
      <c r="A29" s="48"/>
      <c r="B29" s="160" t="str">
        <f>INDEX($EC$5:$ED$9,MATCH($C$2,$EC$5:$EC$9,0),2)</f>
        <v>Edges_Classic_Maple</v>
      </c>
      <c r="C29" s="73"/>
      <c r="D29" s="138" t="s">
        <v>852</v>
      </c>
      <c r="E29" s="298" t="str">
        <f>IFERROR(INDEX($EC$5:$EE$9,MATCH($C$2,$EC$5:$EC$9,0),3),"")</f>
        <v>Single 45</v>
      </c>
      <c r="F29" s="298" t="str">
        <f>IF($C$2&lt;&gt;"Classic Maple","No Option","Change to")</f>
        <v>Change to</v>
      </c>
      <c r="G29" s="300"/>
      <c r="H29" s="360" t="str">
        <f>IF(G29="","",(INDEX($CC$192:$CD$198,MATCH(CONCATENATE($C$2," ",G29),$CC$192:$CC$198,0),2))*Q29/P29)</f>
        <v/>
      </c>
      <c r="I29" s="183" t="str">
        <f ca="1">IF($G$29="","",IF(ISERROR(MATCH($G$29,INDIRECT(B29),0))=FALSE,"","Invalid Selection"))</f>
        <v/>
      </c>
      <c r="J29" s="216"/>
      <c r="K29" s="178"/>
      <c r="L29" s="220"/>
      <c r="M29" s="221"/>
      <c r="N29" s="302"/>
      <c r="O29" s="357" t="str">
        <f t="shared" si="66"/>
        <v>LB L8 1200102</v>
      </c>
      <c r="P29" s="311">
        <f t="shared" si="67"/>
        <v>1400</v>
      </c>
      <c r="Q29" s="311">
        <f t="shared" si="68"/>
        <v>1400</v>
      </c>
      <c r="R29" s="305"/>
      <c r="S29" s="283"/>
      <c r="T29" s="283" t="s">
        <v>1094</v>
      </c>
      <c r="U29" s="283"/>
      <c r="V29" s="283"/>
      <c r="W29" s="283"/>
      <c r="X29" s="283"/>
      <c r="Y29" s="125"/>
      <c r="Z29" s="125"/>
      <c r="AA29" s="125"/>
      <c r="AG29" s="144" t="s">
        <v>453</v>
      </c>
      <c r="AH29" s="146" t="s">
        <v>815</v>
      </c>
      <c r="AI29" s="45" t="s">
        <v>410</v>
      </c>
      <c r="AJ29" s="147" t="s">
        <v>620</v>
      </c>
      <c r="AK29" s="148" t="s">
        <v>453</v>
      </c>
      <c r="AL29" s="28"/>
      <c r="AM29" s="43">
        <f>C3</f>
        <v>0</v>
      </c>
      <c r="AN29" s="28"/>
      <c r="AO29" s="28"/>
      <c r="AP29" s="28"/>
      <c r="AQ29" s="28"/>
      <c r="AR29" s="28"/>
      <c r="AS29" s="28"/>
      <c r="AT29" s="1" t="s">
        <v>479</v>
      </c>
      <c r="AU29" s="205" t="s">
        <v>13</v>
      </c>
      <c r="AV29" s="2" t="s">
        <v>457</v>
      </c>
      <c r="AX29" s="2"/>
      <c r="BA29" s="12" t="s">
        <v>47</v>
      </c>
      <c r="BB29" s="12"/>
      <c r="BC29" s="13" t="str">
        <f t="shared" si="73"/>
        <v>Classic Maple 13x15 Floor Tom</v>
      </c>
      <c r="BD29" s="12" t="s">
        <v>47</v>
      </c>
      <c r="BE29" s="96"/>
      <c r="BF29" s="12"/>
      <c r="BG29" s="13" t="str">
        <f t="shared" si="74"/>
        <v>Legacy Maple 13x15 Floor Tom</v>
      </c>
      <c r="BH29" s="12" t="s">
        <v>47</v>
      </c>
      <c r="BI29" s="98"/>
      <c r="BJ29" s="12"/>
      <c r="BK29" s="13" t="str">
        <f t="shared" si="78"/>
        <v>Legacy Mahogany 13x15 Floor Tom</v>
      </c>
      <c r="BL29" s="12" t="s">
        <v>47</v>
      </c>
      <c r="BM29" s="98"/>
      <c r="BN29" s="12"/>
      <c r="BO29" s="13" t="str">
        <f t="shared" si="75"/>
        <v>Legacy Exotic 13x15 Floor Tom</v>
      </c>
      <c r="BP29" s="12" t="s">
        <v>47</v>
      </c>
      <c r="BQ29" s="94"/>
      <c r="BR29" s="40" t="s">
        <v>706</v>
      </c>
      <c r="BS29" s="12" t="s">
        <v>47</v>
      </c>
      <c r="BT29" s="238"/>
      <c r="BU29" s="239" t="s">
        <v>47</v>
      </c>
      <c r="BV29" s="240" t="s">
        <v>706</v>
      </c>
      <c r="BW29" s="241">
        <f t="shared" si="76"/>
        <v>1010</v>
      </c>
      <c r="BX29" s="241">
        <f t="shared" si="76"/>
        <v>1652</v>
      </c>
      <c r="BY29" s="241">
        <f t="shared" si="76"/>
        <v>1652</v>
      </c>
      <c r="BZ29" s="241">
        <f t="shared" si="76"/>
        <v>1772</v>
      </c>
      <c r="CA29" s="241">
        <f t="shared" si="76"/>
        <v>869</v>
      </c>
      <c r="CC29" s="243" t="s">
        <v>1031</v>
      </c>
      <c r="CD29" s="313">
        <v>95</v>
      </c>
      <c r="CE29" s="242"/>
      <c r="CF29" s="239" t="str">
        <f t="shared" si="77"/>
        <v>13x15 Floor Tom</v>
      </c>
      <c r="CG29" s="130" t="s">
        <v>139</v>
      </c>
      <c r="CH29" s="130" t="s">
        <v>201</v>
      </c>
      <c r="CI29" s="130" t="s">
        <v>259</v>
      </c>
      <c r="CJ29" s="130" t="s">
        <v>317</v>
      </c>
      <c r="CK29" s="130" t="s">
        <v>782</v>
      </c>
      <c r="CL29" s="94"/>
      <c r="CM29" s="288" t="s">
        <v>21</v>
      </c>
      <c r="CN29" s="27" t="str">
        <f t="shared" si="3"/>
        <v>Floor.14x15 Floor Tom</v>
      </c>
      <c r="CO29" s="12" t="s">
        <v>48</v>
      </c>
      <c r="CP29" s="93" t="str">
        <f t="shared" si="4"/>
        <v>MLLCLL</v>
      </c>
      <c r="CQ29" s="285" t="s">
        <v>831</v>
      </c>
      <c r="CR29" s="285" t="s">
        <v>829</v>
      </c>
      <c r="CS29" s="285" t="s">
        <v>731</v>
      </c>
      <c r="CT29" s="285"/>
      <c r="CU29" s="285"/>
      <c r="CV29" s="285"/>
      <c r="CW29" s="285"/>
      <c r="CX29" s="285"/>
      <c r="CY29" s="24"/>
      <c r="DC29" s="50"/>
      <c r="DD29" s="90"/>
      <c r="DH29" s="163" t="s">
        <v>599</v>
      </c>
      <c r="DI29" s="90">
        <f>CD107</f>
        <v>30</v>
      </c>
      <c r="DJ29" s="97" t="s">
        <v>395</v>
      </c>
      <c r="DK29" s="24">
        <v>12</v>
      </c>
      <c r="DL29" s="24"/>
      <c r="DM29" s="24"/>
      <c r="DN29" s="27"/>
      <c r="DO29" s="45"/>
      <c r="DP29" s="45"/>
      <c r="DS29" s="41"/>
      <c r="DT29" s="41" t="s">
        <v>623</v>
      </c>
      <c r="DU29" s="41"/>
      <c r="DV29" s="41"/>
      <c r="DW29" s="41"/>
      <c r="DX29" s="41"/>
      <c r="DY29" s="41"/>
      <c r="DZ29" s="41"/>
      <c r="EA29" s="41"/>
      <c r="EB29" s="41"/>
      <c r="EC29" s="41"/>
      <c r="ED29" s="41"/>
      <c r="EF29" s="45"/>
      <c r="EI29" s="46"/>
      <c r="EJ29" s="32"/>
      <c r="EK29" s="35"/>
      <c r="EL29" s="102"/>
      <c r="EM29" s="8" t="s">
        <v>357</v>
      </c>
      <c r="EO29" t="s">
        <v>486</v>
      </c>
      <c r="EV29" s="105">
        <v>29</v>
      </c>
      <c r="EW29" s="64">
        <f t="shared" si="70"/>
        <v>0</v>
      </c>
      <c r="EX29" s="14" t="str">
        <f t="shared" si="71"/>
        <v>Edges_Classic_Maple</v>
      </c>
      <c r="EY29" s="304"/>
      <c r="EZ29" s="14" t="str">
        <f t="shared" si="72"/>
        <v>Bearing Edge</v>
      </c>
      <c r="FA29" t="str">
        <f t="shared" si="65"/>
        <v>Single 45</v>
      </c>
      <c r="FB29" t="str">
        <f t="shared" si="69"/>
        <v>Change to</v>
      </c>
      <c r="FC29">
        <f t="shared" si="69"/>
        <v>0</v>
      </c>
      <c r="FN29" s="73"/>
      <c r="FO29" s="19"/>
      <c r="FP29" s="171"/>
      <c r="FQ29" s="19"/>
      <c r="FR29" s="19"/>
      <c r="FS29" s="19"/>
      <c r="FT29" s="19"/>
      <c r="FU29" s="19"/>
      <c r="GD29" s="82" t="s">
        <v>552</v>
      </c>
      <c r="GE29" s="124" t="str">
        <f>IF($B$8="","",INDEX($Z$58:$AD$60,MATCH("Reso",$Z$58:$Z$60,0), MATCH($B$8,$Z$58:$AD$58,0)))</f>
        <v/>
      </c>
      <c r="GF29" s="124" t="str">
        <f>IF($B$9="","",INDEX($Z$58:$AD$60,MATCH("Reso",$Z$58:$Z$60,0), MATCH($B$9,$Z$58:$AD$58,0)))</f>
        <v/>
      </c>
      <c r="GG29" s="124" t="str">
        <f>IF($B$10="","",INDEX($Z$58:$AD$60,MATCH("Reso",$Z$58:$Z$60,0), MATCH($B$10,$Z$58:$AD$58,0)))</f>
        <v/>
      </c>
      <c r="GH29" s="124" t="str">
        <f>IF($B$11="","",INDEX($Z$58:$AD$60,MATCH("Reso",$Z$58:$Z$60,0), MATCH($B$11,$Z$58:$AD$58,0)))</f>
        <v/>
      </c>
      <c r="GI29" s="124" t="str">
        <f>IF($B$12="","",INDEX($Z$58:$AD$60,MATCH("Reso",$Z$58:$Z$60,0), MATCH($B$12,$Z$58:$AD$58,0)))</f>
        <v/>
      </c>
      <c r="GJ29" s="124" t="str">
        <f>IF($B$13="","",INDEX($Z$58:$AD$60,MATCH("Reso",$Z$58:$Z$60,0), MATCH($B$13,$Z$58:$AD$58,0)))</f>
        <v/>
      </c>
      <c r="GK29" s="124" t="str">
        <f>IF($B$14="","",INDEX($Z$58:$AD$60,MATCH("Reso",$Z$58:$Z$60,0), MATCH($B$14,$Z$58:$AD$58,0)))</f>
        <v/>
      </c>
      <c r="GL29" s="88" t="str">
        <f>IF($B$15="","",INDEX($Z$58:$AD$60,MATCH("Reso",$Z$58:$Z$60,0), MATCH($B$15,$Z$58:$AD$58,0)))</f>
        <v/>
      </c>
      <c r="GM29" s="88" t="str">
        <f>IF($B$16="","",INDEX($Z$58:$AD$60,MATCH("Reso",$Z$58:$Z$60,0), MATCH($B$16,$Z$58:$AD$58,0)))</f>
        <v/>
      </c>
      <c r="GN29" s="88" t="str">
        <f>IF($B$17="","",INDEX($Z$58:$AD$60,MATCH("Reso",$Z$58:$Z$60,0), MATCH($B$17,$Z$58:$AD$58,0)))</f>
        <v/>
      </c>
      <c r="GO29" s="88" t="str">
        <f>IF($B$18="","",INDEX($Z$58:$AD$60,MATCH("Reso",$Z$58:$Z$60,0), MATCH($B$18,$Z$58:$AD$58,0)))</f>
        <v/>
      </c>
      <c r="GP29" s="88" t="str">
        <f>IF($B$19="","",INDEX($Z$58:$AD$60,MATCH("Reso",$Z$58:$Z$60,0), MATCH($B$19,$Z$58:$AD$58,0)))</f>
        <v/>
      </c>
      <c r="GQ29" s="88" t="str">
        <f>IF($B$20="","",INDEX($Z$58:$AD$60,MATCH("Reso",$Z$58:$Z$60,0), MATCH($B$20,$Z$58:$AD$58,0)))</f>
        <v/>
      </c>
    </row>
    <row r="30" spans="1:200" ht="16.5" thickBot="1" x14ac:dyDescent="0.3">
      <c r="A30" s="48" t="str">
        <f>IF(FN24=1,"Double","DblSngl")</f>
        <v>DblSngl</v>
      </c>
      <c r="B30" s="160" t="str">
        <f>IF(G30="Single","Single","Double")</f>
        <v>Double</v>
      </c>
      <c r="C30" s="111"/>
      <c r="D30" s="137" t="s">
        <v>850</v>
      </c>
      <c r="E30" s="298" t="s">
        <v>851</v>
      </c>
      <c r="F30" s="298" t="str">
        <f>IF(OR($C$2&lt;&gt;"Classic Maple",FN24=1),"No Option","Change to")</f>
        <v>Change to</v>
      </c>
      <c r="G30" s="297"/>
      <c r="H30" s="360" t="str">
        <f>IF(G30="","",0*Q30/P30)</f>
        <v/>
      </c>
      <c r="I30" s="183" t="str">
        <f ca="1">IF($G$30="","",IF(ISERROR(MATCH($G$30,INDIRECT(A30),0))=FALSE,"","Invalid Selection"))</f>
        <v/>
      </c>
      <c r="J30" s="223"/>
      <c r="K30" s="178"/>
      <c r="L30" s="220"/>
      <c r="M30" s="221"/>
      <c r="N30" s="302"/>
      <c r="O30" s="357" t="str">
        <f t="shared" si="66"/>
        <v>LB L8 1200102</v>
      </c>
      <c r="P30" s="311">
        <f t="shared" si="67"/>
        <v>1400</v>
      </c>
      <c r="Q30" s="311">
        <f t="shared" si="68"/>
        <v>1400</v>
      </c>
      <c r="R30" s="305"/>
      <c r="S30" s="283"/>
      <c r="T30" s="283" t="s">
        <v>1095</v>
      </c>
      <c r="U30" s="283"/>
      <c r="V30" s="283"/>
      <c r="Y30" s="125"/>
      <c r="Z30" s="125"/>
      <c r="AA30" s="125"/>
      <c r="AE30" s="25" t="s">
        <v>534</v>
      </c>
      <c r="AF30" s="31" t="s">
        <v>531</v>
      </c>
      <c r="AG30" s="144" t="s">
        <v>454</v>
      </c>
      <c r="AH30" s="146" t="s">
        <v>815</v>
      </c>
      <c r="AI30" s="45" t="s">
        <v>410</v>
      </c>
      <c r="AJ30" s="147" t="s">
        <v>620</v>
      </c>
      <c r="AK30" s="148" t="s">
        <v>454</v>
      </c>
      <c r="AL30" s="28"/>
      <c r="AM30" s="134">
        <f>IF(ISERROR(MATCH($C$3,AM32:AM93,0))=FALSE,1,0)</f>
        <v>0</v>
      </c>
      <c r="AN30" t="s">
        <v>997</v>
      </c>
      <c r="AO30" s="28"/>
      <c r="AP30" s="28"/>
      <c r="AQ30" s="28"/>
      <c r="AR30" s="28"/>
      <c r="AS30" s="28"/>
      <c r="AT30" s="1" t="s">
        <v>478</v>
      </c>
      <c r="AU30" s="205" t="s">
        <v>458</v>
      </c>
      <c r="AV30" s="206" t="s">
        <v>13</v>
      </c>
      <c r="BA30" s="12" t="s">
        <v>48</v>
      </c>
      <c r="BB30" s="12"/>
      <c r="BC30" s="13" t="str">
        <f t="shared" si="73"/>
        <v>Classic Maple 14x15 Floor Tom</v>
      </c>
      <c r="BD30" s="12" t="s">
        <v>48</v>
      </c>
      <c r="BE30" s="96"/>
      <c r="BF30" s="12"/>
      <c r="BG30" s="13" t="str">
        <f t="shared" si="74"/>
        <v>Legacy Maple 14x15 Floor Tom</v>
      </c>
      <c r="BH30" s="12" t="s">
        <v>48</v>
      </c>
      <c r="BI30" s="98"/>
      <c r="BJ30" s="12"/>
      <c r="BK30" s="13" t="str">
        <f t="shared" si="78"/>
        <v>Legacy Mahogany 14x15 Floor Tom</v>
      </c>
      <c r="BL30" s="12" t="s">
        <v>48</v>
      </c>
      <c r="BM30" s="98"/>
      <c r="BN30" s="12"/>
      <c r="BO30" s="13" t="str">
        <f t="shared" si="75"/>
        <v>Legacy Exotic 14x15 Floor Tom</v>
      </c>
      <c r="BP30" s="12" t="s">
        <v>48</v>
      </c>
      <c r="BQ30" s="94"/>
      <c r="BR30" s="40" t="s">
        <v>707</v>
      </c>
      <c r="BS30" s="12" t="s">
        <v>48</v>
      </c>
      <c r="BT30" s="238"/>
      <c r="BU30" s="239" t="s">
        <v>48</v>
      </c>
      <c r="BV30" s="240" t="s">
        <v>707</v>
      </c>
      <c r="BW30" s="241">
        <f t="shared" si="76"/>
        <v>1010</v>
      </c>
      <c r="BX30" s="241">
        <f t="shared" si="76"/>
        <v>1652</v>
      </c>
      <c r="BY30" s="241">
        <f t="shared" si="76"/>
        <v>1652</v>
      </c>
      <c r="BZ30" s="241">
        <f t="shared" si="76"/>
        <v>1772</v>
      </c>
      <c r="CA30" s="241">
        <f t="shared" si="76"/>
        <v>869</v>
      </c>
      <c r="CC30" s="243" t="s">
        <v>1032</v>
      </c>
      <c r="CD30" s="313">
        <v>120</v>
      </c>
      <c r="CE30" s="242"/>
      <c r="CF30" s="239" t="str">
        <f t="shared" si="77"/>
        <v>14x15 Floor Tom</v>
      </c>
      <c r="CG30" s="130" t="s">
        <v>140</v>
      </c>
      <c r="CH30" s="130" t="s">
        <v>202</v>
      </c>
      <c r="CI30" s="130" t="s">
        <v>260</v>
      </c>
      <c r="CJ30" s="130" t="s">
        <v>318</v>
      </c>
      <c r="CK30" s="130" t="s">
        <v>783</v>
      </c>
      <c r="CL30" s="94"/>
      <c r="CM30" s="288" t="s">
        <v>21</v>
      </c>
      <c r="CN30" s="27" t="str">
        <f t="shared" si="3"/>
        <v>Floor.14x16 Floor Tom</v>
      </c>
      <c r="CO30" s="12" t="s">
        <v>50</v>
      </c>
      <c r="CP30" s="93" t="str">
        <f t="shared" ref="CP30:CP69" si="79">CONCATENATE(CQ30,CR30,CS30,CT30,CU30,CV30,CW30,CX30)</f>
        <v>MLLCLL</v>
      </c>
      <c r="CQ30" s="285" t="s">
        <v>831</v>
      </c>
      <c r="CR30" s="285" t="s">
        <v>829</v>
      </c>
      <c r="CS30" s="285" t="s">
        <v>731</v>
      </c>
      <c r="CT30" s="285"/>
      <c r="CU30" s="285"/>
      <c r="CV30" s="285"/>
      <c r="CW30" s="285"/>
      <c r="CX30" s="285"/>
      <c r="CY30" s="24"/>
      <c r="DC30" s="50"/>
      <c r="DD30" s="90"/>
      <c r="DH30" s="154" t="s">
        <v>600</v>
      </c>
      <c r="DI30" s="90" t="str">
        <f>CD108</f>
        <v>Disc</v>
      </c>
      <c r="DJ30" s="97" t="s">
        <v>402</v>
      </c>
      <c r="DK30" s="24">
        <v>10</v>
      </c>
      <c r="DL30" s="24"/>
      <c r="DM30" s="24"/>
      <c r="DN30" s="27"/>
      <c r="DO30" s="45"/>
      <c r="DP30" s="45"/>
      <c r="DS30" s="41"/>
      <c r="DT30" s="41" t="s">
        <v>410</v>
      </c>
      <c r="DU30" s="41"/>
      <c r="DV30" s="41"/>
      <c r="DW30" s="41"/>
      <c r="DX30" s="41"/>
      <c r="DY30" s="41"/>
      <c r="DZ30" s="41"/>
      <c r="EA30" s="41"/>
      <c r="EB30" s="41"/>
      <c r="EC30" s="41"/>
      <c r="ED30" s="41"/>
      <c r="EF30" s="45"/>
      <c r="EI30" s="46"/>
      <c r="EJ30" s="32"/>
      <c r="EK30" s="35"/>
      <c r="EL30" s="102"/>
      <c r="EM30" t="s">
        <v>356</v>
      </c>
      <c r="EO30" s="339" t="s">
        <v>492</v>
      </c>
      <c r="EV30" s="105">
        <v>30</v>
      </c>
      <c r="EW30" s="64" t="str">
        <f t="shared" si="70"/>
        <v>DblSngl</v>
      </c>
      <c r="EX30" s="14" t="str">
        <f t="shared" si="71"/>
        <v>Double</v>
      </c>
      <c r="EY30" s="24"/>
      <c r="EZ30" s="14" t="str">
        <f t="shared" si="72"/>
        <v>Double / Single Head</v>
      </c>
      <c r="FA30" t="str">
        <f>E30</f>
        <v>Double</v>
      </c>
      <c r="FB30" t="str">
        <f>F30</f>
        <v>Change to</v>
      </c>
      <c r="FC30" t="str">
        <f>B30</f>
        <v>Double</v>
      </c>
      <c r="FN30" s="73" t="s">
        <v>851</v>
      </c>
      <c r="FO30" s="19" t="s">
        <v>920</v>
      </c>
      <c r="FP30" s="171"/>
      <c r="FQ30" s="19"/>
      <c r="FR30" s="35" t="s">
        <v>1261</v>
      </c>
      <c r="FS30" s="19"/>
      <c r="FT30" s="19"/>
      <c r="FU30" s="19"/>
      <c r="GD30" s="82" t="s">
        <v>2</v>
      </c>
      <c r="GE30" s="123" t="str">
        <f>IF($C$8="","",$C$4)</f>
        <v/>
      </c>
      <c r="GF30" s="123" t="str">
        <f>IF($C$9="","",$C$4)</f>
        <v/>
      </c>
      <c r="GG30" s="123" t="str">
        <f>IF($C$10="","",$C$4)</f>
        <v/>
      </c>
      <c r="GH30" s="123" t="str">
        <f>IF($C$11="","",$C$4)</f>
        <v/>
      </c>
      <c r="GI30" s="123" t="str">
        <f>IF($C$12="","",$C$4)</f>
        <v/>
      </c>
      <c r="GJ30" s="123" t="str">
        <f>IF($C$13="","",$C$4)</f>
        <v/>
      </c>
      <c r="GK30" s="123" t="str">
        <f>IF($C$14="","",$C$4)</f>
        <v/>
      </c>
      <c r="GL30" s="86" t="str">
        <f>IF($C$15="","",$C$4)</f>
        <v/>
      </c>
      <c r="GM30" s="86" t="str">
        <f>IF($C$16="","",$C$4)</f>
        <v/>
      </c>
      <c r="GN30" s="86" t="str">
        <f>IF($C$17="","",$C$4)</f>
        <v/>
      </c>
      <c r="GO30" s="86" t="str">
        <f>IF($C$18="","",$C$4)</f>
        <v/>
      </c>
      <c r="GP30" s="86" t="str">
        <f>IF($C$19="","",$C$4)</f>
        <v/>
      </c>
      <c r="GQ30" s="86" t="str">
        <f>IF($C$20="","",$C$4)</f>
        <v/>
      </c>
    </row>
    <row r="31" spans="1:200" ht="24" customHeight="1" thickBot="1" x14ac:dyDescent="0.4">
      <c r="A31" s="48"/>
      <c r="B31" s="48"/>
      <c r="C31" s="19"/>
      <c r="D31" s="19"/>
      <c r="E31" s="201" t="s">
        <v>992</v>
      </c>
      <c r="G31" s="202" t="s">
        <v>535</v>
      </c>
      <c r="H31" s="362"/>
      <c r="I31" s="19"/>
      <c r="J31" s="223"/>
      <c r="K31" s="52"/>
      <c r="L31" s="225"/>
      <c r="M31" s="221"/>
      <c r="N31" s="222"/>
      <c r="O31" s="312"/>
      <c r="P31" s="312"/>
      <c r="Q31" s="312"/>
      <c r="R31" s="305"/>
      <c r="T31" t="s">
        <v>1270</v>
      </c>
      <c r="W31" s="283"/>
      <c r="X31" s="283"/>
      <c r="Y31" s="125"/>
      <c r="Z31" s="125"/>
      <c r="AA31" s="125"/>
      <c r="AE31" s="69" t="s">
        <v>411</v>
      </c>
      <c r="AF31" s="31" t="s">
        <v>532</v>
      </c>
      <c r="AG31" s="144" t="s">
        <v>994</v>
      </c>
      <c r="AH31" s="146" t="s">
        <v>115</v>
      </c>
      <c r="AI31" s="45" t="s">
        <v>424</v>
      </c>
      <c r="AJ31" s="147" t="s">
        <v>618</v>
      </c>
      <c r="AK31" s="148" t="s">
        <v>455</v>
      </c>
      <c r="AL31" s="28"/>
      <c r="AM31" s="28" t="s">
        <v>996</v>
      </c>
      <c r="AN31" s="28"/>
      <c r="AO31" s="28"/>
      <c r="AP31" s="28"/>
      <c r="AQ31" s="28"/>
      <c r="AR31" s="28"/>
      <c r="AS31" s="28"/>
      <c r="AT31" s="1" t="s">
        <v>466</v>
      </c>
      <c r="AV31" s="206" t="s">
        <v>458</v>
      </c>
      <c r="BA31" s="12" t="s">
        <v>49</v>
      </c>
      <c r="BB31" s="12"/>
      <c r="BC31" s="13" t="str">
        <f t="shared" si="73"/>
        <v>Classic Maple 13x16 Floor tom</v>
      </c>
      <c r="BD31" s="12" t="s">
        <v>49</v>
      </c>
      <c r="BE31" s="96"/>
      <c r="BF31" s="12"/>
      <c r="BG31" s="13" t="str">
        <f t="shared" si="74"/>
        <v>Legacy Maple 13x16 Floor Tom</v>
      </c>
      <c r="BH31" s="12" t="s">
        <v>54</v>
      </c>
      <c r="BI31" s="99"/>
      <c r="BJ31" s="12"/>
      <c r="BK31" s="18" t="str">
        <f t="shared" si="78"/>
        <v>Legacy Mahogany 13x16 Floor Tom</v>
      </c>
      <c r="BL31" s="12" t="s">
        <v>54</v>
      </c>
      <c r="BM31" s="99"/>
      <c r="BN31" s="12"/>
      <c r="BO31" s="18" t="str">
        <f t="shared" si="75"/>
        <v>Legacy Exotic 13x16 Floor Tom</v>
      </c>
      <c r="BP31" s="12" t="s">
        <v>54</v>
      </c>
      <c r="BQ31" s="95"/>
      <c r="BR31" s="40" t="s">
        <v>708</v>
      </c>
      <c r="BS31" s="12" t="s">
        <v>54</v>
      </c>
      <c r="BT31" s="238"/>
      <c r="BU31" s="239" t="s">
        <v>49</v>
      </c>
      <c r="BV31" s="240" t="s">
        <v>708</v>
      </c>
      <c r="BW31" s="241">
        <f t="shared" si="76"/>
        <v>1010</v>
      </c>
      <c r="BX31" s="241">
        <f t="shared" si="76"/>
        <v>1681</v>
      </c>
      <c r="BY31" s="241">
        <f t="shared" si="76"/>
        <v>1681</v>
      </c>
      <c r="BZ31" s="241">
        <f t="shared" si="76"/>
        <v>1801</v>
      </c>
      <c r="CA31" s="241">
        <f t="shared" si="76"/>
        <v>891</v>
      </c>
      <c r="CC31" s="243" t="s">
        <v>1033</v>
      </c>
      <c r="CD31" s="313">
        <v>145</v>
      </c>
      <c r="CE31" s="242"/>
      <c r="CF31" s="239" t="str">
        <f t="shared" si="77"/>
        <v>13x16 Floor tom</v>
      </c>
      <c r="CG31" s="130" t="s">
        <v>141</v>
      </c>
      <c r="CH31" s="130" t="s">
        <v>203</v>
      </c>
      <c r="CI31" s="130" t="s">
        <v>261</v>
      </c>
      <c r="CJ31" s="130" t="s">
        <v>319</v>
      </c>
      <c r="CK31" s="130" t="s">
        <v>784</v>
      </c>
      <c r="CL31" s="95"/>
      <c r="CM31" s="288" t="s">
        <v>21</v>
      </c>
      <c r="CN31" s="27" t="str">
        <f t="shared" si="3"/>
        <v>Floor.15x16 Floor Tom</v>
      </c>
      <c r="CO31" s="12" t="s">
        <v>51</v>
      </c>
      <c r="CP31" s="93" t="str">
        <f t="shared" si="79"/>
        <v>MLLCLL</v>
      </c>
      <c r="CQ31" s="285" t="s">
        <v>831</v>
      </c>
      <c r="CR31" s="285" t="s">
        <v>829</v>
      </c>
      <c r="CS31" s="285" t="s">
        <v>731</v>
      </c>
      <c r="CT31" s="285"/>
      <c r="CU31" s="285"/>
      <c r="CV31" s="285"/>
      <c r="CW31" s="285"/>
      <c r="CX31" s="285"/>
      <c r="CY31" s="24"/>
      <c r="DC31" s="50"/>
      <c r="DD31" s="90"/>
      <c r="DI31" s="90"/>
      <c r="DJ31" s="97"/>
      <c r="DM31" s="24"/>
      <c r="DN31" s="27"/>
      <c r="DO31" s="45"/>
      <c r="DP31" s="45"/>
      <c r="DS31" s="41"/>
      <c r="DT31" s="41" t="s">
        <v>622</v>
      </c>
      <c r="DU31" s="41"/>
      <c r="DV31" s="41"/>
      <c r="DW31" s="41"/>
      <c r="DX31" s="41"/>
      <c r="DY31" s="41"/>
      <c r="DZ31" s="41"/>
      <c r="EA31" s="41"/>
      <c r="EB31" s="41"/>
      <c r="EC31" s="41"/>
      <c r="ED31" s="41"/>
      <c r="EF31" s="45"/>
      <c r="EI31" s="46"/>
      <c r="EJ31" s="32"/>
      <c r="EK31" s="35"/>
      <c r="EL31" s="102"/>
      <c r="EM31" s="107" t="s">
        <v>1139</v>
      </c>
      <c r="EO31" t="s">
        <v>1255</v>
      </c>
      <c r="EV31" s="105">
        <v>31</v>
      </c>
      <c r="EW31" s="64">
        <f t="shared" si="70"/>
        <v>0</v>
      </c>
      <c r="EX31" s="14">
        <f t="shared" ref="EX31:EX49" si="80">B31</f>
        <v>0</v>
      </c>
      <c r="EY31" s="24"/>
      <c r="EZ31" s="24"/>
      <c r="FA31" s="306" t="str">
        <f t="shared" ref="FA31:FA49" si="81">E31</f>
        <v>Standard Options:</v>
      </c>
      <c r="FN31" s="73" t="s">
        <v>851</v>
      </c>
      <c r="FO31" s="19" t="s">
        <v>861</v>
      </c>
      <c r="FP31" s="171"/>
      <c r="FQ31" s="19"/>
      <c r="FR31" s="93" t="s">
        <v>1262</v>
      </c>
      <c r="FS31" s="14" t="s">
        <v>1256</v>
      </c>
      <c r="FT31" s="19"/>
      <c r="FU31" s="19"/>
      <c r="GD31" s="161" t="s">
        <v>908</v>
      </c>
      <c r="GE31" s="124" t="str">
        <f>IF($B$8="Snare",$AR$16, IF($B$8="Tom",$AR$16, IF($B$8="Floor",$AR$16, IF($B$8="Bass",$AR$16,""))))</f>
        <v/>
      </c>
      <c r="GF31" s="124" t="str">
        <f>IF($B$9="Snare",$AR$16, IF($B$9="Tom",$AR$16, IF($B$9="Floor",$AR$16, IF($B$9="Bass",$AR$16,""))))</f>
        <v/>
      </c>
      <c r="GG31" s="124" t="str">
        <f>IF($B$10="Snare",$AR$16, IF($B$10="Tom",$AR$16, IF($B$10="Floor",$AR$16, IF($B$10="Bass",$AR$16,""))))</f>
        <v/>
      </c>
      <c r="GH31" s="124" t="str">
        <f>IF($B$11="Snare",$AR$16, IF($B$11="Tom",$AR$16, IF($B$11="Floor",$AR$16, IF($B$11="Bass",$AR$16,""))))</f>
        <v/>
      </c>
      <c r="GI31" s="124" t="str">
        <f>IF($B$12="Snare",$AR$16, IF($B$12="Tom",$AR$16, IF($B$12="Floor",$AR$16, IF($B$12="Bass",$AR$16,""))))</f>
        <v/>
      </c>
      <c r="GJ31" s="124" t="str">
        <f>IF($B$13="Snare",$AR$16, IF($B$13="Tom",$AR$16, IF($B$13="Floor",$AR$16, IF($B$13="Bass",$AR$16,""))))</f>
        <v/>
      </c>
      <c r="GK31" s="124" t="str">
        <f>IF($B$14="Snare",$AR$16, IF($B$14="Tom",$AR$16, IF($B$14="Floor",$AR$16, IF($B$14="Bass",$AR$16,""))))</f>
        <v/>
      </c>
      <c r="GL31" s="88" t="str">
        <f>IF($B$15="Snare",$AR$16, IF($B$15="Tom",$AR$16, IF($B$15="Floor",$AR$16, IF($B$15="Bass",$AR$16,""))))</f>
        <v/>
      </c>
      <c r="GM31" s="88" t="str">
        <f>IF($B$16="Snare",$AR$16, IF($B$16="Tom",$AR$16, IF($B$16="Floor",$AR$16, IF($B$16="Bass",$AR$16,""))))</f>
        <v/>
      </c>
      <c r="GN31" s="88" t="str">
        <f>IF($B$17="Snare",$AR$16, IF($B$17="Tom",$AR$16, IF($B$17="Floor",$AR$16, IF($B$17="Bass",$AR$16,""))))</f>
        <v/>
      </c>
      <c r="GO31" s="88" t="str">
        <f>IF($B$18="Snare",$AR$16, IF($B$18="Tom",$AR$16, IF($B$18="Floor",$AR$16, IF($B$18="Bass",$AR$16,""))))</f>
        <v/>
      </c>
      <c r="GP31" s="88" t="str">
        <f>IF($B$19="Snare",$AR$16, IF($B$19="Tom",$AR$16, IF($B$19="Floor",$AR$16, IF($B$19="Bass",$AR$16,""))))</f>
        <v/>
      </c>
      <c r="GQ31" s="88" t="str">
        <f>IF($B$20="Snare",$AR$16, IF($B$20="Tom",$AR$16, IF($B$20="Floor",$AR$16, IF($B$20="Bass",$AR$16,""))))</f>
        <v/>
      </c>
      <c r="GR31" s="24"/>
    </row>
    <row r="32" spans="1:200" ht="16.5" thickBot="1" x14ac:dyDescent="0.3">
      <c r="A32" s="48"/>
      <c r="B32" s="48" t="s">
        <v>630</v>
      </c>
      <c r="C32" s="180" t="s">
        <v>1190</v>
      </c>
      <c r="D32" s="71" t="s">
        <v>520</v>
      </c>
      <c r="E32" s="298" t="s">
        <v>521</v>
      </c>
      <c r="F32" s="298" t="s">
        <v>498</v>
      </c>
      <c r="G32" s="200"/>
      <c r="H32" s="360" t="str">
        <f>IF(G32="Baseball Bat Tone Control",$CD$202*Q32/P32,"")</f>
        <v/>
      </c>
      <c r="I32" s="178"/>
      <c r="J32" s="223"/>
      <c r="K32" s="178"/>
      <c r="L32" s="220"/>
      <c r="M32" s="221"/>
      <c r="N32" s="302"/>
      <c r="O32" s="357" t="str">
        <f>CONCATENATE("LT ",INDEX($AC$2:$AF$7,MATCH($C$2,$AE$2:$AE$7,0),1)," ",$BV$1)</f>
        <v>LT L8 1200102</v>
      </c>
      <c r="P32" s="311">
        <f>IFERROR(INDEX($CF:$CM,MATCH($O32,$CF:$CF,0),MATCH("Retail",$CF$107:$CM$107,0)),0)</f>
        <v>600</v>
      </c>
      <c r="Q32" s="311">
        <f>IFERROR(INDEX($CF:$CM,MATCH($O32,$CF:$CF,0),MATCH($L$1,$CF$107:$CM$107,0)),0)</f>
        <v>600</v>
      </c>
      <c r="R32" s="305"/>
      <c r="T32" s="283" t="s">
        <v>1106</v>
      </c>
      <c r="W32" s="283"/>
      <c r="X32" s="283"/>
      <c r="Y32" s="125"/>
      <c r="Z32" s="125"/>
      <c r="AA32" s="125"/>
      <c r="AE32" s="69" t="s">
        <v>416</v>
      </c>
      <c r="AF32" s="31" t="s">
        <v>532</v>
      </c>
      <c r="AG32" s="144" t="s">
        <v>455</v>
      </c>
      <c r="AH32" s="146" t="s">
        <v>815</v>
      </c>
      <c r="AI32" s="45" t="s">
        <v>410</v>
      </c>
      <c r="AJ32" s="147" t="s">
        <v>620</v>
      </c>
      <c r="AK32" s="148" t="s">
        <v>455</v>
      </c>
      <c r="AL32" s="28"/>
      <c r="AM32" s="204" t="s">
        <v>439</v>
      </c>
      <c r="AN32" s="28"/>
      <c r="AO32" s="28"/>
      <c r="AP32" s="28"/>
      <c r="AQ32" s="28"/>
      <c r="AR32" s="28"/>
      <c r="AS32" s="28"/>
      <c r="AT32" s="1" t="s">
        <v>12</v>
      </c>
      <c r="AX32" s="26"/>
      <c r="BA32" s="12" t="s">
        <v>50</v>
      </c>
      <c r="BB32" s="12"/>
      <c r="BC32" s="13" t="str">
        <f t="shared" si="73"/>
        <v>Classic Maple 14x16 Floor Tom</v>
      </c>
      <c r="BD32" s="12" t="s">
        <v>50</v>
      </c>
      <c r="BE32" s="96"/>
      <c r="BF32" s="12"/>
      <c r="BG32" s="13" t="str">
        <f t="shared" si="74"/>
        <v>Legacy Maple 14x16 Floor Tom</v>
      </c>
      <c r="BH32" s="12" t="s">
        <v>50</v>
      </c>
      <c r="BI32" s="99"/>
      <c r="BJ32" s="12"/>
      <c r="BK32" s="18" t="str">
        <f t="shared" si="78"/>
        <v>Legacy Mahogany 14x16 Floor Tom</v>
      </c>
      <c r="BL32" s="12" t="s">
        <v>50</v>
      </c>
      <c r="BM32" s="99"/>
      <c r="BN32" s="12"/>
      <c r="BO32" s="18" t="str">
        <f t="shared" si="75"/>
        <v>Legacy Exotic 14x16 Floor Tom</v>
      </c>
      <c r="BP32" s="12" t="s">
        <v>50</v>
      </c>
      <c r="BQ32" s="95"/>
      <c r="BR32" s="40" t="s">
        <v>709</v>
      </c>
      <c r="BS32" s="12" t="s">
        <v>50</v>
      </c>
      <c r="BT32" s="238"/>
      <c r="BU32" s="239" t="s">
        <v>50</v>
      </c>
      <c r="BV32" s="240" t="s">
        <v>709</v>
      </c>
      <c r="BW32" s="241">
        <f t="shared" si="76"/>
        <v>1010</v>
      </c>
      <c r="BX32" s="241">
        <f t="shared" si="76"/>
        <v>1681</v>
      </c>
      <c r="BY32" s="241">
        <f t="shared" si="76"/>
        <v>1681</v>
      </c>
      <c r="BZ32" s="241">
        <f t="shared" si="76"/>
        <v>1801</v>
      </c>
      <c r="CA32" s="241">
        <f t="shared" si="76"/>
        <v>891</v>
      </c>
      <c r="CC32" s="243" t="s">
        <v>1034</v>
      </c>
      <c r="CD32" s="313">
        <v>145</v>
      </c>
      <c r="CE32" s="242"/>
      <c r="CF32" s="239" t="str">
        <f t="shared" si="77"/>
        <v>14x16 Floor Tom</v>
      </c>
      <c r="CG32" s="130" t="s">
        <v>142</v>
      </c>
      <c r="CH32" s="130" t="s">
        <v>204</v>
      </c>
      <c r="CI32" s="130" t="s">
        <v>262</v>
      </c>
      <c r="CJ32" s="130" t="s">
        <v>320</v>
      </c>
      <c r="CK32" s="130" t="s">
        <v>785</v>
      </c>
      <c r="CL32" s="95"/>
      <c r="CM32" s="288" t="s">
        <v>21</v>
      </c>
      <c r="CN32" s="27" t="str">
        <f t="shared" si="3"/>
        <v>Floor.16x16 Floor Tom</v>
      </c>
      <c r="CO32" s="12" t="s">
        <v>52</v>
      </c>
      <c r="CP32" s="93" t="str">
        <f t="shared" si="79"/>
        <v>MLLCLLLILT</v>
      </c>
      <c r="CQ32" s="285" t="s">
        <v>831</v>
      </c>
      <c r="CR32" s="285" t="s">
        <v>829</v>
      </c>
      <c r="CS32" s="285" t="s">
        <v>731</v>
      </c>
      <c r="CT32" s="285" t="s">
        <v>830</v>
      </c>
      <c r="CU32" s="285" t="s">
        <v>832</v>
      </c>
      <c r="CV32" s="285"/>
      <c r="CW32" s="285"/>
      <c r="CX32" s="285"/>
      <c r="DC32" s="50"/>
      <c r="DH32" t="s">
        <v>560</v>
      </c>
      <c r="DI32" s="90" t="s">
        <v>14</v>
      </c>
      <c r="DJ32" s="31" t="s">
        <v>15</v>
      </c>
      <c r="DK32" s="24" t="s">
        <v>641</v>
      </c>
      <c r="DL32" s="24"/>
      <c r="DM32" s="24"/>
      <c r="DN32" s="27"/>
      <c r="DO32" s="45"/>
      <c r="DP32" s="45"/>
      <c r="DS32" s="41"/>
      <c r="DU32" s="41"/>
      <c r="DV32" s="41"/>
      <c r="DW32" s="41"/>
      <c r="DX32" s="41"/>
      <c r="DY32" s="41"/>
      <c r="DZ32" s="41"/>
      <c r="EA32" s="41"/>
      <c r="EB32" s="41"/>
      <c r="EC32" s="41"/>
      <c r="ED32" s="41"/>
      <c r="EF32" s="45"/>
      <c r="EI32" s="46"/>
      <c r="EJ32" s="32"/>
      <c r="EK32" s="35"/>
      <c r="EL32" s="102"/>
      <c r="EM32" t="s">
        <v>359</v>
      </c>
      <c r="EO32" t="s">
        <v>493</v>
      </c>
      <c r="EV32" s="105">
        <v>32</v>
      </c>
      <c r="EW32" s="64">
        <f t="shared" si="70"/>
        <v>0</v>
      </c>
      <c r="EX32" s="14" t="str">
        <f t="shared" si="80"/>
        <v>TT Count</v>
      </c>
      <c r="EY32" s="26" t="str">
        <f>C32</f>
        <v>Tom Tom Details</v>
      </c>
      <c r="EZ32" s="14" t="str">
        <f>D32</f>
        <v>Tone Control</v>
      </c>
      <c r="FA32" t="str">
        <f t="shared" si="81"/>
        <v>None</v>
      </c>
      <c r="FB32" t="str">
        <f t="shared" ref="FB32:FC36" si="82">F32</f>
        <v>Change to</v>
      </c>
      <c r="FC32">
        <f t="shared" si="82"/>
        <v>0</v>
      </c>
      <c r="FN32" s="74"/>
      <c r="FO32" s="142"/>
      <c r="FP32" s="173"/>
      <c r="FQ32" s="19"/>
      <c r="FR32" s="93" t="s">
        <v>1263</v>
      </c>
      <c r="FS32" s="133" t="s">
        <v>526</v>
      </c>
      <c r="FT32" s="19"/>
      <c r="FU32" s="19"/>
      <c r="GD32" s="82" t="s">
        <v>481</v>
      </c>
      <c r="GE32" s="368">
        <f>L8</f>
        <v>0</v>
      </c>
      <c r="GF32" s="368">
        <f>L9</f>
        <v>0</v>
      </c>
      <c r="GG32" s="368">
        <f>L10</f>
        <v>0</v>
      </c>
      <c r="GH32" s="368">
        <f>L11</f>
        <v>0</v>
      </c>
      <c r="GI32" s="368">
        <f>L12</f>
        <v>0</v>
      </c>
      <c r="GJ32" s="368">
        <f>L13</f>
        <v>0</v>
      </c>
      <c r="GK32" s="368">
        <f>L14</f>
        <v>0</v>
      </c>
      <c r="GL32" s="369">
        <f>L15</f>
        <v>0</v>
      </c>
      <c r="GM32" s="369">
        <f>L16</f>
        <v>0</v>
      </c>
      <c r="GN32" s="369">
        <f>L17</f>
        <v>0</v>
      </c>
      <c r="GO32" s="369">
        <f>L18</f>
        <v>0</v>
      </c>
      <c r="GP32" s="369">
        <f>L19</f>
        <v>0</v>
      </c>
      <c r="GQ32" s="369">
        <f>L20</f>
        <v>0</v>
      </c>
    </row>
    <row r="33" spans="1:201" x14ac:dyDescent="0.25">
      <c r="A33" s="158" t="s">
        <v>631</v>
      </c>
      <c r="B33" s="159"/>
      <c r="C33" s="73"/>
      <c r="D33" s="72" t="s">
        <v>522</v>
      </c>
      <c r="E33" s="298" t="s">
        <v>523</v>
      </c>
      <c r="F33" s="298" t="s">
        <v>498</v>
      </c>
      <c r="G33" s="200"/>
      <c r="H33" s="360" t="str">
        <f>IF(G33="","",0*Q33/P33)</f>
        <v/>
      </c>
      <c r="I33" s="178"/>
      <c r="J33" s="223"/>
      <c r="K33" s="178"/>
      <c r="L33" s="218"/>
      <c r="M33" s="43"/>
      <c r="N33" s="302"/>
      <c r="O33" s="357" t="str">
        <f>CONCATENATE("LT ",INDEX($AC$2:$AF$7,MATCH($C$2,$AE$2:$AE$7,0),1)," ",$BV$1)</f>
        <v>LT L8 1200102</v>
      </c>
      <c r="P33" s="311">
        <f>IFERROR(INDEX($CF:$CM,MATCH($O33,$CF:$CF,0),MATCH("Retail",$CF$107:$CM$107,0)),0)</f>
        <v>600</v>
      </c>
      <c r="Q33" s="311">
        <f>IFERROR(INDEX($CF:$CM,MATCH($O33,$CF:$CF,0),MATCH($L$1,$CF$107:$CM$107,0)),0)</f>
        <v>600</v>
      </c>
      <c r="R33" s="48"/>
      <c r="S33" s="283"/>
      <c r="T33" s="283" t="s">
        <v>1271</v>
      </c>
      <c r="U33" s="283"/>
      <c r="V33" s="283"/>
      <c r="W33" s="283"/>
      <c r="AE33" s="69" t="s">
        <v>419</v>
      </c>
      <c r="AF33" s="31" t="s">
        <v>532</v>
      </c>
      <c r="AG33" s="144" t="s">
        <v>456</v>
      </c>
      <c r="AH33" s="146" t="s">
        <v>815</v>
      </c>
      <c r="AI33" s="45" t="s">
        <v>424</v>
      </c>
      <c r="AJ33" s="147" t="s">
        <v>617</v>
      </c>
      <c r="AK33" s="148" t="s">
        <v>456</v>
      </c>
      <c r="AL33" s="28"/>
      <c r="AM33" s="204" t="s">
        <v>441</v>
      </c>
      <c r="AN33" s="28"/>
      <c r="AO33" s="28"/>
      <c r="AP33" s="28"/>
      <c r="AQ33" s="28"/>
      <c r="AR33" s="28"/>
      <c r="AS33" s="28"/>
      <c r="AT33" s="1" t="s">
        <v>467</v>
      </c>
      <c r="AX33" s="2"/>
      <c r="BA33" s="12" t="s">
        <v>51</v>
      </c>
      <c r="BB33" s="12"/>
      <c r="BC33" s="13" t="str">
        <f t="shared" si="73"/>
        <v>Classic Maple 15x16 Floor Tom</v>
      </c>
      <c r="BD33" s="12" t="s">
        <v>51</v>
      </c>
      <c r="BE33" s="96"/>
      <c r="BF33" s="12"/>
      <c r="BG33" s="13" t="str">
        <f t="shared" si="74"/>
        <v>Legacy Maple 15x16 Floor Tom</v>
      </c>
      <c r="BH33" s="12" t="s">
        <v>51</v>
      </c>
      <c r="BI33" s="99"/>
      <c r="BJ33" s="12"/>
      <c r="BK33" s="18" t="str">
        <f t="shared" si="78"/>
        <v>Legacy Mahogany 15x16 Floor Tom</v>
      </c>
      <c r="BL33" s="12" t="s">
        <v>51</v>
      </c>
      <c r="BM33" s="99"/>
      <c r="BN33" s="12"/>
      <c r="BO33" s="18" t="str">
        <f t="shared" si="75"/>
        <v>Legacy Exotic 15x16 Floor Tom</v>
      </c>
      <c r="BP33" s="12" t="s">
        <v>51</v>
      </c>
      <c r="BQ33" s="95"/>
      <c r="BR33" s="40" t="s">
        <v>710</v>
      </c>
      <c r="BS33" s="12" t="s">
        <v>51</v>
      </c>
      <c r="BT33" s="238"/>
      <c r="BU33" s="239" t="s">
        <v>51</v>
      </c>
      <c r="BV33" s="240" t="s">
        <v>710</v>
      </c>
      <c r="BW33" s="241">
        <f t="shared" si="76"/>
        <v>1010</v>
      </c>
      <c r="BX33" s="241">
        <f t="shared" si="76"/>
        <v>1681</v>
      </c>
      <c r="BY33" s="241">
        <f t="shared" si="76"/>
        <v>1681</v>
      </c>
      <c r="BZ33" s="241">
        <f t="shared" si="76"/>
        <v>1801</v>
      </c>
      <c r="CA33" s="241">
        <f t="shared" si="76"/>
        <v>891</v>
      </c>
      <c r="CB33" s="241"/>
      <c r="CD33" s="241"/>
      <c r="CE33" s="241"/>
      <c r="CF33" s="239" t="str">
        <f t="shared" si="77"/>
        <v>15x16 Floor Tom</v>
      </c>
      <c r="CG33" s="130" t="s">
        <v>143</v>
      </c>
      <c r="CH33" s="130" t="s">
        <v>205</v>
      </c>
      <c r="CI33" s="130" t="s">
        <v>263</v>
      </c>
      <c r="CJ33" s="130" t="s">
        <v>321</v>
      </c>
      <c r="CK33" s="130" t="s">
        <v>786</v>
      </c>
      <c r="CL33" s="95"/>
      <c r="CM33" s="288" t="s">
        <v>21</v>
      </c>
      <c r="CN33" s="27" t="str">
        <f t="shared" si="3"/>
        <v>Floor.16x18 Floor Tom</v>
      </c>
      <c r="CO33" s="12" t="s">
        <v>53</v>
      </c>
      <c r="CP33" s="93" t="str">
        <f t="shared" si="79"/>
        <v>MLLCLLLILT</v>
      </c>
      <c r="CQ33" s="285" t="s">
        <v>831</v>
      </c>
      <c r="CR33" s="285" t="s">
        <v>829</v>
      </c>
      <c r="CS33" s="285" t="s">
        <v>731</v>
      </c>
      <c r="CT33" s="285" t="s">
        <v>830</v>
      </c>
      <c r="CU33" s="285" t="s">
        <v>832</v>
      </c>
      <c r="CV33" s="285"/>
      <c r="CW33" s="285"/>
      <c r="CX33" s="285"/>
      <c r="CY33" s="114" t="s">
        <v>571</v>
      </c>
      <c r="DC33" s="50"/>
      <c r="DH33" s="29" t="s">
        <v>380</v>
      </c>
      <c r="DI33" s="90">
        <f>CD111</f>
        <v>0</v>
      </c>
      <c r="DJ33" s="97" t="s">
        <v>386</v>
      </c>
      <c r="DK33" s="24">
        <v>0</v>
      </c>
      <c r="DL33" s="24"/>
      <c r="DM33" s="24"/>
      <c r="DN33" s="27"/>
      <c r="DO33" s="45"/>
      <c r="DP33" s="45"/>
      <c r="DS33" s="41"/>
      <c r="DU33" s="41"/>
      <c r="DV33" s="41"/>
      <c r="DW33" s="41"/>
      <c r="DX33" s="41"/>
      <c r="DY33" s="41"/>
      <c r="DZ33" s="41"/>
      <c r="EA33" s="41"/>
      <c r="EB33" s="41"/>
      <c r="EC33" s="41"/>
      <c r="ED33" s="41"/>
      <c r="EF33" s="45"/>
      <c r="EI33" s="46"/>
      <c r="EJ33" s="32"/>
      <c r="EK33" s="35"/>
      <c r="EL33" s="102"/>
      <c r="EM33" t="s">
        <v>834</v>
      </c>
      <c r="EO33" t="s">
        <v>491</v>
      </c>
      <c r="EV33" s="105">
        <v>33</v>
      </c>
      <c r="EW33" s="64" t="str">
        <f t="shared" si="70"/>
        <v>FT Count</v>
      </c>
      <c r="EX33" s="14">
        <f t="shared" si="80"/>
        <v>0</v>
      </c>
      <c r="EY33" s="304"/>
      <c r="EZ33" s="14" t="str">
        <f>D33</f>
        <v>Batter Head</v>
      </c>
      <c r="FA33" t="str">
        <f t="shared" si="81"/>
        <v>Clear Emperor</v>
      </c>
      <c r="FB33" t="str">
        <f t="shared" si="82"/>
        <v>Change to</v>
      </c>
      <c r="FC33">
        <f t="shared" si="82"/>
        <v>0</v>
      </c>
      <c r="FR33" s="187"/>
      <c r="GD33" s="25"/>
    </row>
    <row r="34" spans="1:201" x14ac:dyDescent="0.25">
      <c r="A34" s="158" t="s">
        <v>630</v>
      </c>
      <c r="B34" s="159">
        <f>COUNTIF($B$8:$B$20,"Tom")</f>
        <v>0</v>
      </c>
      <c r="C34" s="73"/>
      <c r="D34" s="72" t="s">
        <v>524</v>
      </c>
      <c r="E34" s="298" t="str">
        <f>IF(G36= "Single","Forget it", "Clear Ambassador")</f>
        <v>Clear Ambassador</v>
      </c>
      <c r="F34" s="298" t="s">
        <v>526</v>
      </c>
      <c r="G34" s="107"/>
      <c r="H34" s="364"/>
      <c r="I34" s="216"/>
      <c r="J34" s="216"/>
      <c r="K34" s="178"/>
      <c r="L34" s="178"/>
      <c r="M34" s="43"/>
      <c r="N34" s="302"/>
      <c r="O34" s="357" t="str">
        <f>CONCATENATE("LT ",INDEX($AC$2:$AF$7,MATCH($C$2,$AE$2:$AE$7,0),1)," ",$BV$1)</f>
        <v>LT L8 1200102</v>
      </c>
      <c r="P34" s="311">
        <f>IFERROR(INDEX($CF:$CM,MATCH($O34,$CF:$CF,0),MATCH("Retail",$CF$107:$CM$107,0)),0)</f>
        <v>600</v>
      </c>
      <c r="Q34" s="311">
        <f>IFERROR(INDEX($CF:$CM,MATCH($O34,$CF:$CF,0),MATCH($L$1,$CF$107:$CM$107,0)),0)</f>
        <v>600</v>
      </c>
      <c r="R34" s="48"/>
      <c r="S34" s="283" t="s">
        <v>1098</v>
      </c>
      <c r="T34" s="283"/>
      <c r="U34" s="283"/>
      <c r="V34" s="283"/>
      <c r="AE34" s="69" t="s">
        <v>422</v>
      </c>
      <c r="AF34" s="31" t="s">
        <v>532</v>
      </c>
      <c r="AG34" s="144" t="s">
        <v>457</v>
      </c>
      <c r="AH34" s="146" t="s">
        <v>815</v>
      </c>
      <c r="AI34" s="45" t="s">
        <v>410</v>
      </c>
      <c r="AJ34" s="147" t="s">
        <v>620</v>
      </c>
      <c r="AK34" s="148" t="s">
        <v>457</v>
      </c>
      <c r="AL34" s="28"/>
      <c r="AM34" s="204" t="s">
        <v>442</v>
      </c>
      <c r="AN34" s="28"/>
      <c r="AO34" s="28"/>
      <c r="AP34" s="28"/>
      <c r="AQ34" s="28"/>
      <c r="AR34" s="28"/>
      <c r="AS34" s="28"/>
      <c r="AT34" s="204" t="s">
        <v>439</v>
      </c>
      <c r="AX34" s="2"/>
      <c r="BA34" s="12" t="s">
        <v>52</v>
      </c>
      <c r="BB34" s="12"/>
      <c r="BC34" s="13" t="str">
        <f t="shared" si="73"/>
        <v>Classic Maple 16x16 Floor Tom</v>
      </c>
      <c r="BD34" s="12" t="s">
        <v>52</v>
      </c>
      <c r="BE34" s="96"/>
      <c r="BF34" s="12"/>
      <c r="BG34" s="13" t="str">
        <f t="shared" si="74"/>
        <v>Legacy Maple 16x16 Floor Tom</v>
      </c>
      <c r="BH34" s="12" t="s">
        <v>52</v>
      </c>
      <c r="BI34" s="99"/>
      <c r="BJ34" s="12"/>
      <c r="BK34" s="18" t="str">
        <f t="shared" si="78"/>
        <v>Legacy Mahogany 16x16 Floor Tom</v>
      </c>
      <c r="BL34" s="12" t="s">
        <v>52</v>
      </c>
      <c r="BM34" s="99"/>
      <c r="BN34" s="12"/>
      <c r="BO34" s="18" t="str">
        <f t="shared" si="75"/>
        <v>Legacy Exotic 16x16 Floor Tom</v>
      </c>
      <c r="BP34" s="12" t="s">
        <v>52</v>
      </c>
      <c r="BQ34" s="95"/>
      <c r="BR34" s="40" t="s">
        <v>711</v>
      </c>
      <c r="BS34" s="12" t="s">
        <v>52</v>
      </c>
      <c r="BT34" s="238"/>
      <c r="BU34" s="239" t="s">
        <v>52</v>
      </c>
      <c r="BV34" s="240" t="s">
        <v>711</v>
      </c>
      <c r="BW34" s="241">
        <f t="shared" si="76"/>
        <v>1010</v>
      </c>
      <c r="BX34" s="241">
        <f t="shared" si="76"/>
        <v>1681</v>
      </c>
      <c r="BY34" s="241">
        <f t="shared" si="76"/>
        <v>1681</v>
      </c>
      <c r="BZ34" s="241">
        <f t="shared" si="76"/>
        <v>1801</v>
      </c>
      <c r="CA34" s="241">
        <f t="shared" si="76"/>
        <v>891</v>
      </c>
      <c r="CB34" s="241"/>
      <c r="CC34" s="243" t="s">
        <v>1035</v>
      </c>
      <c r="CD34" s="313">
        <v>0</v>
      </c>
      <c r="CE34" s="242"/>
      <c r="CF34" s="239" t="str">
        <f t="shared" si="77"/>
        <v>16x16 Floor Tom</v>
      </c>
      <c r="CG34" s="130" t="s">
        <v>144</v>
      </c>
      <c r="CH34" s="130" t="s">
        <v>206</v>
      </c>
      <c r="CI34" s="130" t="s">
        <v>264</v>
      </c>
      <c r="CJ34" s="130" t="s">
        <v>322</v>
      </c>
      <c r="CK34" s="130" t="s">
        <v>787</v>
      </c>
      <c r="CL34" s="95"/>
      <c r="CM34" s="288" t="s">
        <v>20</v>
      </c>
      <c r="CN34" s="27" t="str">
        <f t="shared" si="3"/>
        <v>Tom.10x12 Tom Tom</v>
      </c>
      <c r="CO34" s="12" t="s">
        <v>65</v>
      </c>
      <c r="CP34" s="93" t="str">
        <f t="shared" si="79"/>
        <v>MLLCLL</v>
      </c>
      <c r="CQ34" s="285" t="s">
        <v>831</v>
      </c>
      <c r="CR34" s="285" t="s">
        <v>829</v>
      </c>
      <c r="CS34" s="285" t="s">
        <v>731</v>
      </c>
      <c r="CT34" s="285"/>
      <c r="CU34" s="285"/>
      <c r="CV34" s="285"/>
      <c r="CW34" s="285"/>
      <c r="CX34" s="285"/>
      <c r="CY34" s="114" t="s">
        <v>570</v>
      </c>
      <c r="DC34" s="50"/>
      <c r="DH34" s="29" t="s">
        <v>381</v>
      </c>
      <c r="DI34" s="90">
        <f>CD112</f>
        <v>45</v>
      </c>
      <c r="DJ34" s="97" t="s">
        <v>386</v>
      </c>
      <c r="DK34" s="24">
        <v>0</v>
      </c>
      <c r="DL34" s="24"/>
      <c r="DM34" s="24"/>
      <c r="DN34" s="27"/>
      <c r="DO34" s="45"/>
      <c r="DP34" s="45"/>
      <c r="DQ34" s="41"/>
      <c r="DS34" s="41"/>
      <c r="DU34" s="41"/>
      <c r="DV34" s="41"/>
      <c r="DW34" s="41"/>
      <c r="DX34" s="41"/>
      <c r="DY34" s="41"/>
      <c r="DZ34" s="41"/>
      <c r="EA34" s="41"/>
      <c r="EB34" s="41"/>
      <c r="EC34" s="41"/>
      <c r="ED34" s="41"/>
      <c r="EF34" s="45"/>
      <c r="EI34" s="46"/>
      <c r="EJ34" s="32"/>
      <c r="EK34" s="35"/>
      <c r="EL34" s="102"/>
      <c r="EM34" s="54"/>
      <c r="EV34" s="105">
        <v>34</v>
      </c>
      <c r="EW34" s="64" t="str">
        <f t="shared" si="70"/>
        <v>TT Count</v>
      </c>
      <c r="EX34" s="14">
        <f t="shared" si="80"/>
        <v>0</v>
      </c>
      <c r="EY34" s="304"/>
      <c r="EZ34" s="14" t="str">
        <f>D34</f>
        <v>Bottom Head</v>
      </c>
      <c r="FA34" t="str">
        <f t="shared" si="81"/>
        <v>Clear Ambassador</v>
      </c>
      <c r="FB34" t="str">
        <f t="shared" si="82"/>
        <v>No Option</v>
      </c>
      <c r="FC34">
        <f t="shared" si="82"/>
        <v>0</v>
      </c>
      <c r="GD34" s="25"/>
      <c r="GE34" s="26"/>
      <c r="GF34" s="26"/>
      <c r="GG34" s="26"/>
      <c r="GH34" s="26"/>
      <c r="GI34" s="26"/>
      <c r="GJ34" s="26"/>
      <c r="GK34" s="26"/>
      <c r="GL34" s="26"/>
      <c r="GM34" s="26"/>
      <c r="GN34" s="26"/>
      <c r="GO34" s="26"/>
      <c r="GP34" s="26"/>
      <c r="GQ34" s="26"/>
      <c r="GR34" s="22"/>
      <c r="GS34" s="22"/>
    </row>
    <row r="35" spans="1:201" x14ac:dyDescent="0.25">
      <c r="A35" s="48"/>
      <c r="B35" s="48"/>
      <c r="C35" s="73"/>
      <c r="D35" s="138" t="s">
        <v>852</v>
      </c>
      <c r="E35" s="298" t="str">
        <f>IFERROR(INDEX($EC$5:$EE$9,MATCH($C$2,$EC$5:$EC$9,0),3),"")</f>
        <v>Single 45</v>
      </c>
      <c r="F35" s="298" t="str">
        <f>IF($C$2&lt;&gt;"Classic Maple","No Option","Change to")</f>
        <v>Change to</v>
      </c>
      <c r="G35" s="164"/>
      <c r="H35" s="360" t="str">
        <f>IF(G35="","",(INDEX($CC$192:$CD$198,MATCH(CONCATENATE($C$2," ",G35),$CC$192:$CC$198,0),2))*Q35/P35)</f>
        <v/>
      </c>
      <c r="I35" s="183" t="str">
        <f ca="1">IF($G$35="","",IF(ISERROR(MATCH($G$35,INDIRECT(B29),0))=FALSE,"","Invalid Selection"))</f>
        <v/>
      </c>
      <c r="J35" s="216"/>
      <c r="K35" s="178"/>
      <c r="L35" s="178"/>
      <c r="M35" s="43"/>
      <c r="N35" s="302"/>
      <c r="O35" s="357" t="str">
        <f>CONCATENATE("LT ",INDEX($AC$2:$AF$7,MATCH($C$2,$AE$2:$AE$7,0),1)," ",$BV$1)</f>
        <v>LT L8 1200102</v>
      </c>
      <c r="P35" s="311">
        <f>IFERROR(INDEX($CF:$CM,MATCH($O35,$CF:$CF,0),MATCH("Retail",$CF$107:$CM$107,0)),0)</f>
        <v>600</v>
      </c>
      <c r="Q35" s="311">
        <f>IFERROR(INDEX($CF:$CM,MATCH($O35,$CF:$CF,0),MATCH($L$1,$CF$107:$CM$107,0)),0)</f>
        <v>600</v>
      </c>
      <c r="R35" s="48"/>
      <c r="T35" s="283" t="s">
        <v>1100</v>
      </c>
      <c r="AE35" s="69" t="s">
        <v>414</v>
      </c>
      <c r="AF35" s="31" t="s">
        <v>533</v>
      </c>
      <c r="AG35" s="144" t="s">
        <v>13</v>
      </c>
      <c r="AH35" s="146" t="s">
        <v>815</v>
      </c>
      <c r="AI35" s="45" t="s">
        <v>410</v>
      </c>
      <c r="AJ35" s="147" t="s">
        <v>620</v>
      </c>
      <c r="AK35" s="148" t="s">
        <v>13</v>
      </c>
      <c r="AL35" s="28"/>
      <c r="AM35" s="204" t="s">
        <v>988</v>
      </c>
      <c r="AN35" s="28"/>
      <c r="AO35" s="28"/>
      <c r="AP35" s="28"/>
      <c r="AQ35" s="28"/>
      <c r="AR35" s="28"/>
      <c r="AS35" s="28"/>
      <c r="AT35" s="204" t="s">
        <v>441</v>
      </c>
      <c r="AX35" s="2"/>
      <c r="BA35" s="12" t="s">
        <v>53</v>
      </c>
      <c r="BB35" s="12"/>
      <c r="BC35" s="13" t="str">
        <f t="shared" si="73"/>
        <v>Classic Maple 16x18 Floor Tom</v>
      </c>
      <c r="BD35" s="12" t="s">
        <v>53</v>
      </c>
      <c r="BE35" s="96"/>
      <c r="BF35" s="12"/>
      <c r="BG35" s="13" t="str">
        <f t="shared" si="74"/>
        <v>Legacy Maple 16x18 Floor Tom</v>
      </c>
      <c r="BH35" s="12" t="s">
        <v>53</v>
      </c>
      <c r="BI35" s="99"/>
      <c r="BJ35" s="12"/>
      <c r="BK35" s="18" t="str">
        <f t="shared" si="78"/>
        <v>Legacy Mahogany 16x18 Floor Tom</v>
      </c>
      <c r="BL35" s="12" t="s">
        <v>53</v>
      </c>
      <c r="BM35" s="99"/>
      <c r="BN35" s="12"/>
      <c r="BO35" s="18" t="str">
        <f t="shared" si="75"/>
        <v>Legacy Exotic 16x18 Floor Tom</v>
      </c>
      <c r="BP35" s="12" t="s">
        <v>53</v>
      </c>
      <c r="BQ35" s="95"/>
      <c r="BR35" s="40" t="s">
        <v>712</v>
      </c>
      <c r="BS35" s="12" t="s">
        <v>53</v>
      </c>
      <c r="BT35" s="238"/>
      <c r="BU35" s="239" t="s">
        <v>53</v>
      </c>
      <c r="BV35" s="240" t="s">
        <v>712</v>
      </c>
      <c r="BW35" s="241">
        <f t="shared" si="76"/>
        <v>1170</v>
      </c>
      <c r="BX35" s="241">
        <f t="shared" si="76"/>
        <v>1817</v>
      </c>
      <c r="BY35" s="241">
        <f t="shared" si="76"/>
        <v>1817</v>
      </c>
      <c r="BZ35" s="241">
        <f t="shared" si="76"/>
        <v>1845</v>
      </c>
      <c r="CA35" s="241">
        <f t="shared" si="76"/>
        <v>1038</v>
      </c>
      <c r="CB35" s="241"/>
      <c r="CC35" s="243" t="s">
        <v>1036</v>
      </c>
      <c r="CD35" s="313">
        <v>0</v>
      </c>
      <c r="CE35" s="242"/>
      <c r="CF35" s="239" t="str">
        <f t="shared" si="77"/>
        <v>16x18 Floor Tom</v>
      </c>
      <c r="CG35" s="130" t="s">
        <v>145</v>
      </c>
      <c r="CH35" s="130" t="s">
        <v>207</v>
      </c>
      <c r="CI35" s="130" t="s">
        <v>265</v>
      </c>
      <c r="CJ35" s="130" t="s">
        <v>323</v>
      </c>
      <c r="CK35" s="130" t="s">
        <v>788</v>
      </c>
      <c r="CL35" s="95"/>
      <c r="CM35" s="288" t="s">
        <v>20</v>
      </c>
      <c r="CN35" s="27" t="str">
        <f t="shared" si="3"/>
        <v>Tom.10x13 Tom Tom</v>
      </c>
      <c r="CO35" s="12" t="s">
        <v>68</v>
      </c>
      <c r="CP35" s="93" t="str">
        <f t="shared" si="79"/>
        <v>MLLCLL</v>
      </c>
      <c r="CQ35" s="285" t="s">
        <v>831</v>
      </c>
      <c r="CR35" s="285" t="s">
        <v>829</v>
      </c>
      <c r="CS35" s="285" t="s">
        <v>731</v>
      </c>
      <c r="CT35" s="285"/>
      <c r="CU35" s="285"/>
      <c r="CV35" s="285"/>
      <c r="CW35" s="285"/>
      <c r="CX35" s="285"/>
      <c r="CY35" s="114" t="s">
        <v>570</v>
      </c>
      <c r="DC35" s="50"/>
      <c r="DH35" s="29" t="s">
        <v>559</v>
      </c>
      <c r="DI35" s="90">
        <f>CD113</f>
        <v>0</v>
      </c>
      <c r="DJ35" s="97" t="s">
        <v>386</v>
      </c>
      <c r="DK35" s="24">
        <v>0</v>
      </c>
      <c r="DL35" s="24"/>
      <c r="DM35" s="24"/>
      <c r="DN35" s="27"/>
      <c r="DO35" s="45"/>
      <c r="DP35" s="45"/>
      <c r="DQ35" s="41"/>
      <c r="DR35" s="43"/>
      <c r="DS35" s="41"/>
      <c r="DU35" s="41"/>
      <c r="DV35" s="41"/>
      <c r="DW35" s="41"/>
      <c r="DX35" s="41"/>
      <c r="DY35" s="41"/>
      <c r="DZ35" s="41"/>
      <c r="EA35" s="41"/>
      <c r="EB35" s="41"/>
      <c r="EC35" s="41"/>
      <c r="ED35" s="41"/>
      <c r="EF35" s="45"/>
      <c r="EI35" s="46"/>
      <c r="EJ35" s="32"/>
      <c r="EK35" s="35"/>
      <c r="EL35" s="102"/>
      <c r="EM35" s="54"/>
      <c r="EV35" s="105">
        <v>35</v>
      </c>
      <c r="EW35" s="64">
        <f t="shared" si="70"/>
        <v>0</v>
      </c>
      <c r="EX35" s="14">
        <f t="shared" si="80"/>
        <v>0</v>
      </c>
      <c r="EY35" s="304"/>
      <c r="EZ35" s="14" t="str">
        <f>D35</f>
        <v>Bearing Edge</v>
      </c>
      <c r="FA35" t="str">
        <f t="shared" si="81"/>
        <v>Single 45</v>
      </c>
      <c r="FB35" t="str">
        <f t="shared" si="82"/>
        <v>Change to</v>
      </c>
      <c r="FC35">
        <f t="shared" si="82"/>
        <v>0</v>
      </c>
      <c r="GD35" s="25"/>
      <c r="GE35" s="81">
        <v>8</v>
      </c>
      <c r="GF35" s="81">
        <v>9</v>
      </c>
      <c r="GG35" s="81">
        <v>10</v>
      </c>
      <c r="GH35" s="81">
        <v>11</v>
      </c>
      <c r="GI35" s="81">
        <v>12</v>
      </c>
      <c r="GJ35" s="81">
        <v>13</v>
      </c>
      <c r="GK35" s="81">
        <v>14</v>
      </c>
      <c r="GL35" s="81">
        <v>15</v>
      </c>
      <c r="GM35" s="81">
        <v>16</v>
      </c>
      <c r="GN35" s="81">
        <v>17</v>
      </c>
      <c r="GO35" s="81">
        <v>18</v>
      </c>
      <c r="GP35" s="81">
        <v>19</v>
      </c>
      <c r="GQ35" s="81">
        <v>20</v>
      </c>
      <c r="GR35" s="22"/>
      <c r="GS35" s="22"/>
    </row>
    <row r="36" spans="1:201" ht="15.75" thickBot="1" x14ac:dyDescent="0.3">
      <c r="A36" s="48" t="str">
        <f>IF(FN22=1,"Double","DblSngl")</f>
        <v>DblSngl</v>
      </c>
      <c r="B36" s="48" t="str">
        <f>IF(G36="Single","Single","Double")</f>
        <v>Double</v>
      </c>
      <c r="C36" s="74"/>
      <c r="D36" s="137" t="s">
        <v>850</v>
      </c>
      <c r="E36" s="298" t="s">
        <v>851</v>
      </c>
      <c r="F36" s="298" t="str">
        <f>IF(OR($C$2&lt;&gt;"Classic Maple",FN22=1),"No Option","Change to")</f>
        <v>Change to</v>
      </c>
      <c r="G36" s="164"/>
      <c r="H36" s="360" t="str">
        <f>IF(G36="","",0*Q36/P36)</f>
        <v/>
      </c>
      <c r="I36" s="183" t="str">
        <f ca="1">IF($G$36="","",IF(ISERROR(MATCH($G$36,INDIRECT(A36),0))=FALSE,"","Invalid Selection"))</f>
        <v/>
      </c>
      <c r="J36" s="216"/>
      <c r="K36" s="178"/>
      <c r="L36" s="178"/>
      <c r="M36" s="43"/>
      <c r="N36" s="302"/>
      <c r="O36" s="357" t="str">
        <f>CONCATENATE("LT ",INDEX($AC$2:$AF$7,MATCH($C$2,$AE$2:$AE$7,0),1)," ",$BV$1)</f>
        <v>LT L8 1200102</v>
      </c>
      <c r="P36" s="311">
        <f>IFERROR(INDEX($CF:$CM,MATCH($O36,$CF:$CF,0),MATCH("Retail",$CF$107:$CM$107,0)),0)</f>
        <v>600</v>
      </c>
      <c r="Q36" s="311">
        <f>IFERROR(INDEX($CF:$CM,MATCH($O36,$CF:$CF,0),MATCH($L$1,$CF$107:$CM$107,0)),0)</f>
        <v>600</v>
      </c>
      <c r="R36" s="48"/>
      <c r="S36" s="283"/>
      <c r="T36" s="283" t="s">
        <v>1099</v>
      </c>
      <c r="U36" s="283"/>
      <c r="V36" s="283"/>
      <c r="AE36" s="69" t="s">
        <v>415</v>
      </c>
      <c r="AF36" s="31" t="s">
        <v>533</v>
      </c>
      <c r="AG36" s="144" t="s">
        <v>458</v>
      </c>
      <c r="AH36" s="146" t="s">
        <v>815</v>
      </c>
      <c r="AI36" s="45" t="s">
        <v>410</v>
      </c>
      <c r="AJ36" s="147" t="s">
        <v>620</v>
      </c>
      <c r="AK36" s="148" t="s">
        <v>458</v>
      </c>
      <c r="AL36" s="28"/>
      <c r="AM36" s="204" t="s">
        <v>444</v>
      </c>
      <c r="AN36" s="28"/>
      <c r="AO36" s="28"/>
      <c r="AP36" s="28"/>
      <c r="AQ36" s="28"/>
      <c r="AR36" s="28"/>
      <c r="AS36" s="28"/>
      <c r="AT36" s="204" t="s">
        <v>988</v>
      </c>
      <c r="AX36" s="2"/>
      <c r="BC36" s="14"/>
      <c r="BD36" s="12"/>
      <c r="BE36" s="96"/>
      <c r="BF36" s="12"/>
      <c r="BG36" s="12"/>
      <c r="BH36" s="12"/>
      <c r="BI36" s="21"/>
      <c r="BJ36" s="12"/>
      <c r="BK36" s="12"/>
      <c r="BL36" s="12"/>
      <c r="BM36" s="12"/>
      <c r="BN36" s="12"/>
      <c r="BO36" s="12"/>
      <c r="BP36" s="12"/>
      <c r="BQ36" s="65"/>
      <c r="BR36" s="65"/>
      <c r="BS36" s="65"/>
      <c r="BT36" s="247"/>
      <c r="BU36" s="246"/>
      <c r="BV36" s="236"/>
      <c r="BW36" s="247"/>
      <c r="BX36" s="247"/>
      <c r="BY36" s="247"/>
      <c r="BZ36" s="247"/>
      <c r="CA36" s="247"/>
      <c r="CB36" s="241"/>
      <c r="CC36" s="243" t="s">
        <v>1037</v>
      </c>
      <c r="CD36" s="313">
        <v>0</v>
      </c>
      <c r="CE36" s="242"/>
      <c r="CF36" s="246"/>
      <c r="CG36" s="65"/>
      <c r="CH36" s="65"/>
      <c r="CI36" s="65"/>
      <c r="CJ36" s="65"/>
      <c r="CK36" s="65"/>
      <c r="CL36" s="65"/>
      <c r="CM36" s="288" t="s">
        <v>20</v>
      </c>
      <c r="CN36" s="27" t="str">
        <f t="shared" si="3"/>
        <v>Tom.10x14 Tom Tom</v>
      </c>
      <c r="CO36" s="12" t="s">
        <v>71</v>
      </c>
      <c r="CP36" s="93" t="str">
        <f t="shared" si="79"/>
        <v>MLLCLL</v>
      </c>
      <c r="CQ36" s="285" t="s">
        <v>831</v>
      </c>
      <c r="CR36" s="285" t="s">
        <v>829</v>
      </c>
      <c r="CS36" s="285" t="s">
        <v>731</v>
      </c>
      <c r="CT36" s="285"/>
      <c r="CU36" s="285"/>
      <c r="CV36" s="285"/>
      <c r="CW36" s="285"/>
      <c r="CX36" s="285"/>
      <c r="CY36" s="114" t="s">
        <v>570</v>
      </c>
      <c r="DC36" s="50"/>
      <c r="DH36" s="29" t="s">
        <v>382</v>
      </c>
      <c r="DI36" s="90">
        <f>CD114</f>
        <v>0</v>
      </c>
      <c r="DJ36" s="97" t="s">
        <v>386</v>
      </c>
      <c r="DK36" s="24">
        <v>0</v>
      </c>
      <c r="DL36" s="24"/>
      <c r="DM36" s="24"/>
      <c r="DN36" s="27"/>
      <c r="DO36" s="45"/>
      <c r="DP36" s="45"/>
      <c r="DQ36" s="41"/>
      <c r="DR36" s="41"/>
      <c r="DS36" s="41"/>
      <c r="DU36" s="41"/>
      <c r="DV36" s="41"/>
      <c r="DW36" s="41"/>
      <c r="DX36" s="41"/>
      <c r="DY36" s="41"/>
      <c r="DZ36" s="41"/>
      <c r="EA36" s="41"/>
      <c r="EB36" s="41"/>
      <c r="EC36" s="41"/>
      <c r="ED36" s="41"/>
      <c r="EF36" s="45"/>
      <c r="EI36" s="46"/>
      <c r="EJ36" s="32"/>
      <c r="EK36" s="35"/>
      <c r="EL36" s="102"/>
      <c r="EM36" s="54"/>
      <c r="EV36" s="105">
        <v>36</v>
      </c>
      <c r="EW36" s="64" t="str">
        <f t="shared" si="70"/>
        <v>DblSngl</v>
      </c>
      <c r="EX36" s="14" t="str">
        <f t="shared" si="80"/>
        <v>Double</v>
      </c>
      <c r="EY36" s="304"/>
      <c r="EZ36" s="14" t="str">
        <f>D36</f>
        <v>Double / Single Head</v>
      </c>
      <c r="FA36" t="str">
        <f t="shared" si="81"/>
        <v>Double</v>
      </c>
      <c r="FB36" t="str">
        <f t="shared" si="82"/>
        <v>Change to</v>
      </c>
      <c r="FC36">
        <f t="shared" si="82"/>
        <v>0</v>
      </c>
      <c r="GE36" s="81">
        <f>IF(AND(SUM(GF5:$GQ$5)=0,GE5=""), 0,1)</f>
        <v>0</v>
      </c>
      <c r="GF36" s="81">
        <f>IF(AND(SUM(GG5:$GQ$5)=0,GF5=""), 0,1)</f>
        <v>0</v>
      </c>
      <c r="GG36" s="81">
        <f>IF(AND(SUM(GH5:$GQ$5)=0,GG5=""), 0,1)</f>
        <v>0</v>
      </c>
      <c r="GH36" s="81">
        <f>IF(AND(SUM(GI5:$GQ$5)=0,GH5=""), 0,1)</f>
        <v>0</v>
      </c>
      <c r="GI36" s="81">
        <f>IF(AND(SUM(GJ5:$GQ$5)=0,GI5=""), 0,1)</f>
        <v>0</v>
      </c>
      <c r="GJ36" s="81">
        <f>IF(AND(SUM(GK5:$GQ$5)=0,GJ5=""), 0,1)</f>
        <v>0</v>
      </c>
      <c r="GK36" s="81">
        <f>IF(AND(SUM(GL5:$GQ$5)=0,GK5=""), 0,1)</f>
        <v>0</v>
      </c>
      <c r="GL36" s="81">
        <f>IF(AND(SUM(GM5:$GQ$5)=0,GL5=""), 0,1)</f>
        <v>0</v>
      </c>
      <c r="GM36" s="81">
        <f>IF(AND(SUM(GN5:$GQ$5)=0,GM5=""), 0,1)</f>
        <v>0</v>
      </c>
      <c r="GN36" s="81">
        <f>IF(AND(SUM(GO5:$GQ$5)=0,GN5=""), 0,1)</f>
        <v>0</v>
      </c>
      <c r="GO36" s="81">
        <f>IF(AND(SUM(GP5:$GQ$5)=0,GO5=""), 0,1)</f>
        <v>0</v>
      </c>
      <c r="GP36" s="81">
        <f>IF(AND(SUM(GQ5:$GQ$5)=0,GP5=""), 0,1)</f>
        <v>0</v>
      </c>
      <c r="GQ36" s="81">
        <f>IF(AND(SUM($GQ5:GR$5)=0,GQ5=""), 0,1)</f>
        <v>0</v>
      </c>
      <c r="GR36" s="26"/>
      <c r="GS36" s="22"/>
    </row>
    <row r="37" spans="1:201" ht="24.6" customHeight="1" thickBot="1" x14ac:dyDescent="0.4">
      <c r="E37" s="201" t="s">
        <v>992</v>
      </c>
      <c r="G37" s="202" t="s">
        <v>535</v>
      </c>
      <c r="H37" s="362"/>
      <c r="L37" s="52"/>
      <c r="M37" s="219"/>
      <c r="N37" s="43"/>
      <c r="O37" s="302"/>
      <c r="R37" s="48"/>
      <c r="T37" s="283" t="s">
        <v>1094</v>
      </c>
      <c r="AE37" s="69" t="s">
        <v>417</v>
      </c>
      <c r="AF37" s="31" t="s">
        <v>533</v>
      </c>
      <c r="AG37" s="144" t="s">
        <v>459</v>
      </c>
      <c r="AH37" s="146" t="s">
        <v>115</v>
      </c>
      <c r="AI37" s="45" t="s">
        <v>424</v>
      </c>
      <c r="AJ37" s="147" t="s">
        <v>611</v>
      </c>
      <c r="AK37" s="148" t="s">
        <v>455</v>
      </c>
      <c r="AL37" s="28"/>
      <c r="AM37" s="204" t="s">
        <v>989</v>
      </c>
      <c r="AN37" s="28"/>
      <c r="AO37" s="28"/>
      <c r="AP37" s="28"/>
      <c r="AQ37" s="28"/>
      <c r="AR37" s="28"/>
      <c r="AS37" s="28"/>
      <c r="AT37" s="1" t="s">
        <v>443</v>
      </c>
      <c r="AX37" s="3"/>
      <c r="BC37" s="14"/>
      <c r="BH37" s="19"/>
      <c r="BI37" s="19"/>
      <c r="BJ37" s="19"/>
      <c r="BK37" s="19"/>
      <c r="BL37" s="19"/>
      <c r="BM37" s="19"/>
      <c r="BN37" s="19"/>
      <c r="BO37" s="19"/>
      <c r="BP37" s="19"/>
      <c r="BQ37" s="64"/>
      <c r="BR37" s="64"/>
      <c r="BS37" s="64"/>
      <c r="BT37" s="245"/>
      <c r="BU37" s="246"/>
      <c r="BV37" s="236"/>
      <c r="BW37" s="245"/>
      <c r="BX37" s="245"/>
      <c r="BY37" s="245"/>
      <c r="BZ37" s="245"/>
      <c r="CA37" s="245"/>
      <c r="CB37" s="241"/>
      <c r="CC37" s="243" t="s">
        <v>1038</v>
      </c>
      <c r="CD37" s="313">
        <v>0</v>
      </c>
      <c r="CE37" s="242"/>
      <c r="CF37" s="246"/>
      <c r="CG37" s="64"/>
      <c r="CH37" s="64"/>
      <c r="CI37" s="64"/>
      <c r="CJ37" s="64"/>
      <c r="CK37" s="64"/>
      <c r="CL37" s="64"/>
      <c r="CM37" s="288" t="s">
        <v>20</v>
      </c>
      <c r="CN37" s="27" t="str">
        <f t="shared" si="3"/>
        <v>Tom.11x12 Tom Tom</v>
      </c>
      <c r="CO37" s="12" t="s">
        <v>66</v>
      </c>
      <c r="CP37" s="93" t="str">
        <f t="shared" si="79"/>
        <v>MLLCLL</v>
      </c>
      <c r="CQ37" s="285" t="s">
        <v>831</v>
      </c>
      <c r="CR37" s="285" t="s">
        <v>829</v>
      </c>
      <c r="CS37" s="285" t="s">
        <v>731</v>
      </c>
      <c r="CT37" s="285"/>
      <c r="CU37" s="285"/>
      <c r="CV37" s="285"/>
      <c r="CW37" s="285"/>
      <c r="CX37" s="285"/>
      <c r="CY37" s="114" t="s">
        <v>570</v>
      </c>
      <c r="DC37" s="50"/>
      <c r="DI37" s="90"/>
      <c r="DK37" s="24"/>
      <c r="DL37" s="24"/>
      <c r="DM37" s="24"/>
      <c r="DN37" s="27"/>
      <c r="DO37" s="45"/>
      <c r="DP37" s="45"/>
      <c r="DQ37" s="41"/>
      <c r="DR37" s="41"/>
      <c r="DS37" s="41"/>
      <c r="DU37" s="41"/>
      <c r="DV37" s="41"/>
      <c r="DW37" s="41"/>
      <c r="DX37" s="41"/>
      <c r="DY37" s="41"/>
      <c r="DZ37" s="41"/>
      <c r="EA37" s="41"/>
      <c r="EB37" s="41"/>
      <c r="EC37" s="41"/>
      <c r="ED37" s="41"/>
      <c r="EF37" s="45"/>
      <c r="EI37" s="46"/>
      <c r="EJ37" s="102" t="s">
        <v>18</v>
      </c>
      <c r="EK37" s="331" t="s">
        <v>17</v>
      </c>
      <c r="EL37" s="331" t="s">
        <v>1244</v>
      </c>
      <c r="EM37" s="331" t="s">
        <v>111</v>
      </c>
      <c r="EN37" s="54" t="s">
        <v>1241</v>
      </c>
      <c r="ES37" t="s">
        <v>513</v>
      </c>
      <c r="ET37" s="90" t="s">
        <v>1245</v>
      </c>
      <c r="EV37" s="105">
        <v>37</v>
      </c>
      <c r="EW37" s="64">
        <f t="shared" si="70"/>
        <v>0</v>
      </c>
      <c r="EX37" s="14">
        <f t="shared" si="80"/>
        <v>0</v>
      </c>
      <c r="EY37" s="304"/>
      <c r="EZ37" s="304"/>
      <c r="FA37" s="306" t="str">
        <f t="shared" si="81"/>
        <v>Standard Options:</v>
      </c>
      <c r="GE37" s="183"/>
      <c r="GF37" s="26"/>
      <c r="GG37" s="26"/>
      <c r="GH37" s="26"/>
      <c r="GI37" s="26"/>
      <c r="GJ37" s="26"/>
      <c r="GK37" s="26"/>
      <c r="GL37" s="26"/>
      <c r="GM37" s="26"/>
      <c r="GN37" s="26"/>
      <c r="GO37" s="26"/>
      <c r="GP37" s="26"/>
      <c r="GQ37" s="26"/>
      <c r="GR37" s="22"/>
      <c r="GS37" s="22"/>
    </row>
    <row r="38" spans="1:201" ht="15" customHeight="1" x14ac:dyDescent="0.25">
      <c r="C38" s="301" t="s">
        <v>1191</v>
      </c>
      <c r="D38" s="71" t="s">
        <v>520</v>
      </c>
      <c r="E38" s="298" t="s">
        <v>521</v>
      </c>
      <c r="F38" s="298" t="s">
        <v>498</v>
      </c>
      <c r="G38" s="200"/>
      <c r="H38" s="360" t="str">
        <f>IF(G38="Baseball Bat Tone Control",$CD$202*Q38/P38,"")</f>
        <v/>
      </c>
      <c r="L38" s="178"/>
      <c r="M38" s="219"/>
      <c r="N38" s="302"/>
      <c r="O38" s="357" t="str">
        <f>CONCATENATE("LF ",INDEX($AC$2:$AF$7,MATCH($C$2,$AE$2:$AE$7,0),1)," ",$BV$1)</f>
        <v>LF L8 1200102</v>
      </c>
      <c r="P38" s="311">
        <f>IFERROR(INDEX($CF:$CM,MATCH($O38,$CF:$CF,0),MATCH("Retail",$CF$107:$CM$107,0)),0)</f>
        <v>688</v>
      </c>
      <c r="Q38" s="311">
        <f>IFERROR(INDEX($CF:$CM,MATCH($O38,$CF:$CF,0),MATCH($L$1,$CF$107:$CM$107,0)),0)</f>
        <v>688</v>
      </c>
      <c r="R38" s="48"/>
      <c r="T38" s="283" t="s">
        <v>1095</v>
      </c>
      <c r="AE38" s="69" t="s">
        <v>420</v>
      </c>
      <c r="AF38" s="31" t="s">
        <v>533</v>
      </c>
      <c r="AG38" s="144" t="s">
        <v>460</v>
      </c>
      <c r="AH38" s="146" t="s">
        <v>115</v>
      </c>
      <c r="AI38" s="45" t="s">
        <v>424</v>
      </c>
      <c r="AJ38" s="147" t="s">
        <v>611</v>
      </c>
      <c r="AK38" s="148" t="s">
        <v>455</v>
      </c>
      <c r="AL38" s="28"/>
      <c r="AM38" s="204" t="s">
        <v>449</v>
      </c>
      <c r="AN38" s="28"/>
      <c r="AO38" s="28"/>
      <c r="AP38" s="28"/>
      <c r="AQ38" s="28"/>
      <c r="AR38" s="28"/>
      <c r="AS38" s="28"/>
      <c r="AT38" s="204" t="s">
        <v>444</v>
      </c>
      <c r="AX38" s="3"/>
      <c r="BC38" s="26" t="s">
        <v>111</v>
      </c>
      <c r="BD38" s="11" t="s">
        <v>106</v>
      </c>
      <c r="BE38" s="12"/>
      <c r="BF38" t="s">
        <v>545</v>
      </c>
      <c r="BG38" s="15" t="s">
        <v>111</v>
      </c>
      <c r="BH38" s="11" t="s">
        <v>107</v>
      </c>
      <c r="BJ38" s="12"/>
      <c r="BK38" s="15" t="s">
        <v>111</v>
      </c>
      <c r="BL38" s="11" t="s">
        <v>108</v>
      </c>
      <c r="BO38" s="15" t="s">
        <v>111</v>
      </c>
      <c r="BP38" s="11" t="s">
        <v>109</v>
      </c>
      <c r="BR38" s="15" t="s">
        <v>111</v>
      </c>
      <c r="BS38" s="11" t="s">
        <v>757</v>
      </c>
      <c r="BU38" s="246"/>
      <c r="BV38" s="236"/>
      <c r="CB38" s="241"/>
      <c r="CC38" s="243" t="s">
        <v>1039</v>
      </c>
      <c r="CD38" s="313">
        <v>0</v>
      </c>
      <c r="CE38" s="242"/>
      <c r="CF38" s="246"/>
      <c r="CM38" s="288" t="s">
        <v>20</v>
      </c>
      <c r="CN38" s="27" t="str">
        <f t="shared" si="3"/>
        <v>Tom.11x13 Tom Tom</v>
      </c>
      <c r="CO38" s="12" t="s">
        <v>69</v>
      </c>
      <c r="CP38" s="93" t="str">
        <f t="shared" si="79"/>
        <v>MLLCLL</v>
      </c>
      <c r="CQ38" s="285" t="s">
        <v>831</v>
      </c>
      <c r="CR38" s="285" t="s">
        <v>829</v>
      </c>
      <c r="CS38" s="285" t="s">
        <v>731</v>
      </c>
      <c r="CT38" s="285"/>
      <c r="CU38" s="285"/>
      <c r="CV38" s="285"/>
      <c r="CW38" s="285"/>
      <c r="CX38" s="285"/>
      <c r="CY38" s="114" t="s">
        <v>570</v>
      </c>
      <c r="DC38" s="50"/>
      <c r="DI38" s="90"/>
      <c r="DM38" s="24"/>
      <c r="DN38" s="27"/>
      <c r="DO38" s="45"/>
      <c r="DP38" s="45"/>
      <c r="DQ38" s="41"/>
      <c r="DR38" s="41"/>
      <c r="DS38" s="41"/>
      <c r="DU38" s="41"/>
      <c r="DV38" s="41"/>
      <c r="DW38" s="41"/>
      <c r="DX38" s="41"/>
      <c r="DY38" s="41"/>
      <c r="DZ38" s="41"/>
      <c r="EA38" s="41"/>
      <c r="EB38" s="41"/>
      <c r="EC38" s="41"/>
      <c r="ED38" s="41"/>
      <c r="EF38" s="45"/>
      <c r="EI38" s="46"/>
      <c r="EJ38" s="8" t="s">
        <v>357</v>
      </c>
      <c r="EK38" s="331" t="s">
        <v>856</v>
      </c>
      <c r="EL38" s="64" t="s">
        <v>851</v>
      </c>
      <c r="EM38" s="14" t="str">
        <f t="shared" ref="EM38:EM57" si="83">CONCATENATE(EJ38,".",EK38,".",EL38)</f>
        <v>Mini Classic.Big.Double</v>
      </c>
      <c r="EN38" s="339" t="s">
        <v>492</v>
      </c>
      <c r="EO38" s="346" t="s">
        <v>486</v>
      </c>
      <c r="EP38" s="346" t="s">
        <v>1255</v>
      </c>
      <c r="EQ38" s="346" t="s">
        <v>493</v>
      </c>
      <c r="ER38" s="347" t="s">
        <v>491</v>
      </c>
      <c r="ES38" s="127" t="s">
        <v>1248</v>
      </c>
      <c r="ET38" s="342" t="s">
        <v>486</v>
      </c>
      <c r="EU38" t="str">
        <f>CONCATENATE("Spurs_",ES38)</f>
        <v>Spurs_Spurs_AECFN</v>
      </c>
      <c r="EV38" s="105">
        <v>38</v>
      </c>
      <c r="EW38" s="64">
        <f t="shared" si="70"/>
        <v>0</v>
      </c>
      <c r="EX38" s="14">
        <f t="shared" si="80"/>
        <v>0</v>
      </c>
      <c r="EY38" s="26" t="str">
        <f>C38</f>
        <v>Floor Tom Details</v>
      </c>
      <c r="EZ38" s="125" t="str">
        <f>D38</f>
        <v>Tone Control</v>
      </c>
      <c r="FA38" t="str">
        <f t="shared" si="81"/>
        <v>None</v>
      </c>
      <c r="FB38" t="str">
        <f t="shared" ref="FB38:FC42" si="84">F38</f>
        <v>Change to</v>
      </c>
      <c r="FC38">
        <f t="shared" si="84"/>
        <v>0</v>
      </c>
      <c r="GE38" s="14"/>
      <c r="GG38" s="85"/>
    </row>
    <row r="39" spans="1:201" x14ac:dyDescent="0.25">
      <c r="B39" s="162">
        <f>COUNTIF($B$8:$B$20,"Floor")</f>
        <v>0</v>
      </c>
      <c r="C39" s="73"/>
      <c r="D39" s="72" t="s">
        <v>522</v>
      </c>
      <c r="E39" s="298" t="s">
        <v>523</v>
      </c>
      <c r="F39" s="298" t="s">
        <v>498</v>
      </c>
      <c r="G39" s="200"/>
      <c r="H39" s="360" t="str">
        <f>IF(G39="","",0*Q39/P39)</f>
        <v/>
      </c>
      <c r="L39" s="178"/>
      <c r="M39" s="219"/>
      <c r="N39" s="302"/>
      <c r="O39" s="357" t="str">
        <f>CONCATENATE("LF ",INDEX($AC$2:$AF$7,MATCH($C$2,$AE$2:$AE$7,0),1)," ",$BV$1)</f>
        <v>LF L8 1200102</v>
      </c>
      <c r="P39" s="311">
        <f>IFERROR(INDEX($CF:$CM,MATCH($O39,$CF:$CF,0),MATCH("Retail",$CF$107:$CM$107,0)),0)</f>
        <v>688</v>
      </c>
      <c r="Q39" s="311">
        <f>IFERROR(INDEX($CF:$CM,MATCH($O39,$CF:$CF,0),MATCH($L$1,$CF$107:$CM$107,0)),0)</f>
        <v>688</v>
      </c>
      <c r="R39" s="48"/>
      <c r="T39" t="s">
        <v>1270</v>
      </c>
      <c r="AE39" s="69" t="s">
        <v>423</v>
      </c>
      <c r="AF39" s="31" t="s">
        <v>533</v>
      </c>
      <c r="AG39" s="144" t="s">
        <v>461</v>
      </c>
      <c r="AH39" s="146" t="s">
        <v>115</v>
      </c>
      <c r="AI39" s="45" t="s">
        <v>424</v>
      </c>
      <c r="AJ39" s="147" t="s">
        <v>611</v>
      </c>
      <c r="AK39" s="148" t="s">
        <v>455</v>
      </c>
      <c r="AL39" s="28"/>
      <c r="AM39" s="204" t="s">
        <v>450</v>
      </c>
      <c r="AN39" s="28"/>
      <c r="AO39" s="28"/>
      <c r="AP39" s="28"/>
      <c r="AQ39" s="28"/>
      <c r="AR39" s="28"/>
      <c r="AS39" s="28"/>
      <c r="AT39" s="1" t="s">
        <v>468</v>
      </c>
      <c r="AX39" s="26"/>
      <c r="BA39" s="12" t="s">
        <v>55</v>
      </c>
      <c r="BB39" s="12"/>
      <c r="BC39" s="13" t="str">
        <f t="shared" ref="BC39:BC63" si="85">$BD$1&amp;" "&amp;BD39</f>
        <v xml:space="preserve">Classic Maple 7x6 Tom Tom </v>
      </c>
      <c r="BD39" s="12" t="s">
        <v>55</v>
      </c>
      <c r="BE39" s="100"/>
      <c r="BH39" s="12"/>
      <c r="BJ39" s="12"/>
      <c r="BL39" s="12"/>
      <c r="BP39" s="12"/>
      <c r="BT39" s="238"/>
      <c r="BU39" s="239" t="s">
        <v>55</v>
      </c>
      <c r="BV39" s="240" t="s">
        <v>664</v>
      </c>
      <c r="BW39" s="241">
        <f t="shared" ref="BW39:CA48" si="86">INDEX($BV:$CA,MATCH(CONCATENATE("D",".",BW$2,".",$BV39,".",$BV$1),$BV:$BV,0),MATCH("Result",$BV$85:$CA$85,0))</f>
        <v>601</v>
      </c>
      <c r="BX39" s="241" t="e">
        <f t="shared" si="86"/>
        <v>#N/A</v>
      </c>
      <c r="BY39" s="241" t="e">
        <f t="shared" si="86"/>
        <v>#N/A</v>
      </c>
      <c r="BZ39" s="241" t="e">
        <f t="shared" si="86"/>
        <v>#N/A</v>
      </c>
      <c r="CA39" s="241" t="e">
        <f t="shared" si="86"/>
        <v>#N/A</v>
      </c>
      <c r="CB39" s="241"/>
      <c r="CC39" s="243" t="s">
        <v>1040</v>
      </c>
      <c r="CD39" s="313">
        <v>0</v>
      </c>
      <c r="CE39" s="242"/>
      <c r="CF39" s="239" t="str">
        <f t="shared" ref="CF39:CF67" si="87">BU39</f>
        <v xml:space="preserve">7x6 Tom Tom </v>
      </c>
      <c r="CG39" s="130" t="s">
        <v>146</v>
      </c>
      <c r="CH39" s="153" t="e">
        <v>#N/A</v>
      </c>
      <c r="CI39" s="153" t="e">
        <v>#N/A</v>
      </c>
      <c r="CJ39" s="153" t="e">
        <v>#N/A</v>
      </c>
      <c r="CK39" s="153" t="e">
        <v>#N/A</v>
      </c>
      <c r="CM39" s="288" t="s">
        <v>20</v>
      </c>
      <c r="CN39" s="27" t="str">
        <f t="shared" si="3"/>
        <v>Tom.11x14 Tom Tom</v>
      </c>
      <c r="CO39" s="12" t="s">
        <v>72</v>
      </c>
      <c r="CP39" s="93" t="str">
        <f t="shared" si="79"/>
        <v>MLLCLL</v>
      </c>
      <c r="CQ39" s="285" t="s">
        <v>831</v>
      </c>
      <c r="CR39" s="285" t="s">
        <v>829</v>
      </c>
      <c r="CS39" s="285" t="s">
        <v>731</v>
      </c>
      <c r="CT39" s="285"/>
      <c r="CU39" s="285"/>
      <c r="CV39" s="285"/>
      <c r="CW39" s="285"/>
      <c r="CX39" s="285"/>
      <c r="CY39" s="114" t="s">
        <v>570</v>
      </c>
      <c r="DC39" s="50"/>
      <c r="DM39" s="24"/>
      <c r="DN39" s="27"/>
      <c r="DO39" s="45"/>
      <c r="DP39" s="45"/>
      <c r="DQ39" s="41"/>
      <c r="DR39" s="41"/>
      <c r="DS39" s="41"/>
      <c r="DU39" s="41"/>
      <c r="DV39" s="41"/>
      <c r="DW39" s="41"/>
      <c r="DX39" s="41"/>
      <c r="DY39" s="41"/>
      <c r="DZ39" s="41"/>
      <c r="EA39" s="41"/>
      <c r="EB39" s="41"/>
      <c r="EC39" s="41"/>
      <c r="ED39" s="41"/>
      <c r="EF39" s="45"/>
      <c r="EI39" s="46"/>
      <c r="EJ39" t="s">
        <v>356</v>
      </c>
      <c r="EK39" s="331" t="s">
        <v>856</v>
      </c>
      <c r="EL39" s="64" t="s">
        <v>851</v>
      </c>
      <c r="EM39" s="14" t="str">
        <f t="shared" si="83"/>
        <v>Large Classic.Big.Double</v>
      </c>
      <c r="EN39" s="172" t="s">
        <v>492</v>
      </c>
      <c r="EO39" s="19" t="s">
        <v>486</v>
      </c>
      <c r="EP39" s="19" t="s">
        <v>1255</v>
      </c>
      <c r="EQ39" s="19" t="s">
        <v>493</v>
      </c>
      <c r="ER39" s="171" t="s">
        <v>491</v>
      </c>
      <c r="ES39" s="127" t="s">
        <v>1248</v>
      </c>
      <c r="ET39" s="342" t="s">
        <v>486</v>
      </c>
      <c r="EU39" t="str">
        <f t="shared" ref="EU39:EU42" si="88">CONCATENATE("Spurs_",ES39)</f>
        <v>Spurs_Spurs_AECFN</v>
      </c>
      <c r="EV39" s="105">
        <v>39</v>
      </c>
      <c r="EW39" s="64">
        <f t="shared" si="70"/>
        <v>0</v>
      </c>
      <c r="EX39" s="14">
        <f t="shared" si="80"/>
        <v>0</v>
      </c>
      <c r="EY39" s="304"/>
      <c r="EZ39" s="125" t="str">
        <f>D39</f>
        <v>Batter Head</v>
      </c>
      <c r="FA39" t="str">
        <f t="shared" si="81"/>
        <v>Clear Emperor</v>
      </c>
      <c r="FB39" t="str">
        <f t="shared" si="84"/>
        <v>Change to</v>
      </c>
      <c r="FC39">
        <f t="shared" si="84"/>
        <v>0</v>
      </c>
      <c r="GE39" s="14"/>
      <c r="GH39" s="14"/>
      <c r="GI39" s="14"/>
    </row>
    <row r="40" spans="1:201" x14ac:dyDescent="0.25">
      <c r="C40" s="73"/>
      <c r="D40" s="72" t="s">
        <v>524</v>
      </c>
      <c r="E40" s="298" t="str">
        <f>IF(G42="Single","86'd", "Clear Ambassador")</f>
        <v>Clear Ambassador</v>
      </c>
      <c r="F40" s="298" t="s">
        <v>526</v>
      </c>
      <c r="H40" s="362"/>
      <c r="I40" s="216"/>
      <c r="L40" s="178"/>
      <c r="M40" s="41"/>
      <c r="N40" s="302"/>
      <c r="O40" s="357" t="str">
        <f>CONCATENATE("LF ",INDEX($AC$2:$AF$7,MATCH($C$2,$AE$2:$AE$7,0),1)," ",$BV$1)</f>
        <v>LF L8 1200102</v>
      </c>
      <c r="P40" s="311">
        <f>IFERROR(INDEX($CF:$CM,MATCH($O40,$CF:$CF,0),MATCH("Retail",$CF$107:$CM$107,0)),0)</f>
        <v>688</v>
      </c>
      <c r="Q40" s="311">
        <f>IFERROR(INDEX($CF:$CM,MATCH($O40,$CF:$CF,0),MATCH($L$1,$CF$107:$CM$107,0)),0)</f>
        <v>688</v>
      </c>
      <c r="R40" s="48"/>
      <c r="T40" s="283" t="s">
        <v>1106</v>
      </c>
      <c r="AE40" s="69" t="s">
        <v>425</v>
      </c>
      <c r="AF40" s="31" t="s">
        <v>533</v>
      </c>
      <c r="AG40" s="144" t="s">
        <v>462</v>
      </c>
      <c r="AH40" s="146" t="s">
        <v>115</v>
      </c>
      <c r="AI40" s="45" t="s">
        <v>424</v>
      </c>
      <c r="AJ40" s="147" t="s">
        <v>611</v>
      </c>
      <c r="AK40" s="148" t="s">
        <v>455</v>
      </c>
      <c r="AL40" s="28"/>
      <c r="AM40" s="204" t="s">
        <v>451</v>
      </c>
      <c r="AN40" s="28"/>
      <c r="AO40" s="28"/>
      <c r="AP40" s="28"/>
      <c r="AQ40" s="28"/>
      <c r="AR40" s="28"/>
      <c r="AS40" s="28"/>
      <c r="AT40" s="1" t="s">
        <v>469</v>
      </c>
      <c r="AX40" s="26"/>
      <c r="BA40" s="12" t="s">
        <v>56</v>
      </c>
      <c r="BB40" s="12"/>
      <c r="BC40" s="13" t="str">
        <f t="shared" si="85"/>
        <v>Classic Maple 8x6 Tom Tom</v>
      </c>
      <c r="BD40" s="12" t="s">
        <v>56</v>
      </c>
      <c r="BE40" s="100"/>
      <c r="BH40" s="12"/>
      <c r="BJ40" s="12"/>
      <c r="BL40" s="12"/>
      <c r="BP40" s="12"/>
      <c r="BT40" s="238"/>
      <c r="BU40" s="239" t="s">
        <v>56</v>
      </c>
      <c r="BV40" s="240" t="s">
        <v>665</v>
      </c>
      <c r="BW40" s="241">
        <f t="shared" si="86"/>
        <v>601</v>
      </c>
      <c r="BX40" s="241" t="e">
        <f t="shared" si="86"/>
        <v>#N/A</v>
      </c>
      <c r="BY40" s="241" t="e">
        <f t="shared" si="86"/>
        <v>#N/A</v>
      </c>
      <c r="BZ40" s="241" t="e">
        <f t="shared" si="86"/>
        <v>#N/A</v>
      </c>
      <c r="CA40" s="241" t="e">
        <f t="shared" si="86"/>
        <v>#N/A</v>
      </c>
      <c r="CB40" s="241"/>
      <c r="CC40" s="243" t="s">
        <v>1041</v>
      </c>
      <c r="CD40" s="313">
        <v>0</v>
      </c>
      <c r="CE40" s="242"/>
      <c r="CF40" s="239" t="str">
        <f t="shared" si="87"/>
        <v>8x6 Tom Tom</v>
      </c>
      <c r="CG40" s="130" t="s">
        <v>147</v>
      </c>
      <c r="CH40" s="153" t="e">
        <v>#N/A</v>
      </c>
      <c r="CI40" s="153" t="e">
        <v>#N/A</v>
      </c>
      <c r="CJ40" s="153" t="e">
        <v>#N/A</v>
      </c>
      <c r="CK40" s="153" t="e">
        <v>#N/A</v>
      </c>
      <c r="CM40" s="288" t="s">
        <v>20</v>
      </c>
      <c r="CN40" s="27" t="str">
        <f t="shared" si="3"/>
        <v>Tom.12x13 Tom Tom</v>
      </c>
      <c r="CO40" s="12" t="s">
        <v>70</v>
      </c>
      <c r="CP40" s="93" t="str">
        <f t="shared" si="79"/>
        <v>MLLCLL</v>
      </c>
      <c r="CQ40" s="285" t="s">
        <v>831</v>
      </c>
      <c r="CR40" s="285" t="s">
        <v>829</v>
      </c>
      <c r="CS40" s="285" t="s">
        <v>731</v>
      </c>
      <c r="CT40" s="285"/>
      <c r="CU40" s="285"/>
      <c r="CV40" s="285"/>
      <c r="CW40" s="285"/>
      <c r="CX40" s="285"/>
      <c r="CY40" s="114" t="s">
        <v>570</v>
      </c>
      <c r="DC40" s="50"/>
      <c r="DM40" s="24"/>
      <c r="DN40" s="27"/>
      <c r="DO40" s="45"/>
      <c r="DP40" s="45"/>
      <c r="DQ40" s="41"/>
      <c r="DR40" s="41"/>
      <c r="DS40" s="41"/>
      <c r="DU40" s="41"/>
      <c r="DV40" s="41"/>
      <c r="DX40" s="41"/>
      <c r="DY40" s="41"/>
      <c r="DZ40" s="41"/>
      <c r="EA40" s="41"/>
      <c r="EB40" s="41"/>
      <c r="EC40" s="41"/>
      <c r="ED40" s="41"/>
      <c r="EE40" s="41"/>
      <c r="EF40" s="45"/>
      <c r="EI40" s="46"/>
      <c r="EJ40" s="107" t="s">
        <v>1139</v>
      </c>
      <c r="EK40" s="331" t="s">
        <v>856</v>
      </c>
      <c r="EL40" s="64" t="s">
        <v>851</v>
      </c>
      <c r="EM40" s="14" t="str">
        <f t="shared" si="83"/>
        <v>Mach Lugs.Big.Double</v>
      </c>
      <c r="EN40" s="172"/>
      <c r="EO40" s="19" t="s">
        <v>486</v>
      </c>
      <c r="EP40" s="19" t="s">
        <v>1255</v>
      </c>
      <c r="EQ40" s="19" t="s">
        <v>493</v>
      </c>
      <c r="ER40" s="171" t="s">
        <v>491</v>
      </c>
      <c r="ES40" s="127" t="s">
        <v>1249</v>
      </c>
      <c r="ET40" s="342" t="s">
        <v>486</v>
      </c>
      <c r="EU40" t="str">
        <f t="shared" si="88"/>
        <v>Spurs_Spurs_ECFN</v>
      </c>
      <c r="EV40" s="105">
        <v>40</v>
      </c>
      <c r="EW40" s="64">
        <f t="shared" si="70"/>
        <v>0</v>
      </c>
      <c r="EX40" s="14">
        <f t="shared" si="80"/>
        <v>0</v>
      </c>
      <c r="EY40" s="304"/>
      <c r="EZ40" s="125" t="str">
        <f>D40</f>
        <v>Bottom Head</v>
      </c>
      <c r="FA40" t="str">
        <f t="shared" si="81"/>
        <v>Clear Ambassador</v>
      </c>
      <c r="FB40" t="str">
        <f t="shared" si="84"/>
        <v>No Option</v>
      </c>
      <c r="FC40">
        <f t="shared" si="84"/>
        <v>0</v>
      </c>
      <c r="GE40" s="14"/>
      <c r="GH40" s="14"/>
      <c r="GI40" s="14"/>
    </row>
    <row r="41" spans="1:201" x14ac:dyDescent="0.25">
      <c r="C41" s="73"/>
      <c r="D41" s="138" t="s">
        <v>852</v>
      </c>
      <c r="E41" s="298" t="str">
        <f>IFERROR(INDEX($EC$5:$EE$9,MATCH($C$2,$EC$5:$EC$9,0),3),"")</f>
        <v>Single 45</v>
      </c>
      <c r="F41" s="298" t="str">
        <f>IF($C$2&lt;&gt;"Classic Maple","No Option","Change to")</f>
        <v>Change to</v>
      </c>
      <c r="G41" s="164"/>
      <c r="H41" s="360" t="str">
        <f>IF(G41="","",(INDEX($CC$192:$CD$198,MATCH(CONCATENATE($C$2," ",G41),$CC$192:$CC$198,0),2))*Q41/P41)</f>
        <v/>
      </c>
      <c r="I41" s="183" t="str">
        <f ca="1">IF($G$41="","",IF(ISERROR(MATCH($G$41,INDIRECT(B29),0))=FALSE,"","Invalid Selection"))</f>
        <v/>
      </c>
      <c r="L41" s="178"/>
      <c r="M41" s="41"/>
      <c r="N41" s="302"/>
      <c r="O41" s="357" t="str">
        <f>CONCATENATE("LF ",INDEX($AC$2:$AF$7,MATCH($C$2,$AE$2:$AE$7,0),1)," ",$BV$1)</f>
        <v>LF L8 1200102</v>
      </c>
      <c r="P41" s="311">
        <f>IFERROR(INDEX($CF:$CM,MATCH($O41,$CF:$CF,0),MATCH("Retail",$CF$107:$CM$107,0)),0)</f>
        <v>688</v>
      </c>
      <c r="Q41" s="311">
        <f>IFERROR(INDEX($CF:$CM,MATCH($O41,$CF:$CF,0),MATCH($L$1,$CF$107:$CM$107,0)),0)</f>
        <v>688</v>
      </c>
      <c r="R41" s="48"/>
      <c r="T41" s="283" t="s">
        <v>1271</v>
      </c>
      <c r="AE41" s="69" t="s">
        <v>412</v>
      </c>
      <c r="AF41" s="31" t="s">
        <v>530</v>
      </c>
      <c r="AG41" s="144" t="s">
        <v>993</v>
      </c>
      <c r="AH41" s="146" t="s">
        <v>115</v>
      </c>
      <c r="AI41" s="45" t="s">
        <v>424</v>
      </c>
      <c r="AJ41" s="147" t="s">
        <v>618</v>
      </c>
      <c r="AK41" s="148" t="s">
        <v>455</v>
      </c>
      <c r="AL41" s="28"/>
      <c r="AM41" s="204" t="s">
        <v>13</v>
      </c>
      <c r="AN41" s="28"/>
      <c r="AO41" s="28"/>
      <c r="AP41" s="28"/>
      <c r="AQ41" s="28"/>
      <c r="AR41" s="28"/>
      <c r="AS41" s="28"/>
      <c r="AT41" s="1" t="s">
        <v>470</v>
      </c>
      <c r="AX41" s="26"/>
      <c r="BA41" s="12" t="s">
        <v>57</v>
      </c>
      <c r="BB41" s="12"/>
      <c r="BC41" s="13" t="str">
        <f t="shared" si="85"/>
        <v>Classic Maple 7x8 Tom Tom</v>
      </c>
      <c r="BD41" s="12" t="s">
        <v>57</v>
      </c>
      <c r="BE41" s="100"/>
      <c r="BH41" s="12"/>
      <c r="BL41" s="12"/>
      <c r="BP41" s="12"/>
      <c r="BR41" s="40" t="s">
        <v>666</v>
      </c>
      <c r="BS41" s="12" t="s">
        <v>57</v>
      </c>
      <c r="BT41" s="238"/>
      <c r="BU41" s="239" t="s">
        <v>57</v>
      </c>
      <c r="BV41" s="240" t="s">
        <v>666</v>
      </c>
      <c r="BW41" s="241">
        <f t="shared" si="86"/>
        <v>601</v>
      </c>
      <c r="BX41" s="241" t="e">
        <f t="shared" si="86"/>
        <v>#N/A</v>
      </c>
      <c r="BY41" s="241" t="e">
        <f t="shared" si="86"/>
        <v>#N/A</v>
      </c>
      <c r="BZ41" s="241" t="e">
        <f t="shared" si="86"/>
        <v>#N/A</v>
      </c>
      <c r="CA41" s="241">
        <f t="shared" si="86"/>
        <v>537</v>
      </c>
      <c r="CB41" s="241"/>
      <c r="CC41" s="243" t="s">
        <v>1042</v>
      </c>
      <c r="CD41" s="313">
        <v>0</v>
      </c>
      <c r="CE41" s="242"/>
      <c r="CF41" s="239" t="str">
        <f t="shared" si="87"/>
        <v>7x8 Tom Tom</v>
      </c>
      <c r="CG41" s="130" t="s">
        <v>148</v>
      </c>
      <c r="CH41" s="153" t="e">
        <v>#N/A</v>
      </c>
      <c r="CI41" s="153" t="e">
        <v>#N/A</v>
      </c>
      <c r="CJ41" s="153" t="e">
        <v>#N/A</v>
      </c>
      <c r="CK41" s="130" t="s">
        <v>789</v>
      </c>
      <c r="CM41" s="288" t="s">
        <v>20</v>
      </c>
      <c r="CN41" s="27" t="str">
        <f t="shared" si="3"/>
        <v>Tom.12x14 Tom Tom</v>
      </c>
      <c r="CO41" s="12" t="s">
        <v>73</v>
      </c>
      <c r="CP41" s="93" t="str">
        <f t="shared" si="79"/>
        <v>MLLCLL</v>
      </c>
      <c r="CQ41" s="285" t="s">
        <v>831</v>
      </c>
      <c r="CR41" s="285" t="s">
        <v>829</v>
      </c>
      <c r="CS41" s="285" t="s">
        <v>731</v>
      </c>
      <c r="CT41" s="285"/>
      <c r="CU41" s="285"/>
      <c r="CV41" s="285"/>
      <c r="CW41" s="285"/>
      <c r="CX41" s="285"/>
      <c r="CY41" s="114" t="s">
        <v>570</v>
      </c>
      <c r="DC41" s="50"/>
      <c r="DG41" s="22" t="s">
        <v>561</v>
      </c>
      <c r="DM41" s="24"/>
      <c r="DN41" s="27"/>
      <c r="DO41" s="45"/>
      <c r="DP41" s="45"/>
      <c r="DQ41" s="41"/>
      <c r="DR41" s="41"/>
      <c r="DS41" s="41"/>
      <c r="DU41" s="41"/>
      <c r="DV41" s="41"/>
      <c r="DW41" s="41"/>
      <c r="DX41" s="41"/>
      <c r="DY41" s="41"/>
      <c r="DZ41" s="41"/>
      <c r="EA41" s="41"/>
      <c r="EB41" s="41"/>
      <c r="EC41" s="41"/>
      <c r="ED41" s="41"/>
      <c r="EF41" s="45"/>
      <c r="EI41" s="46"/>
      <c r="EJ41" t="s">
        <v>359</v>
      </c>
      <c r="EK41" s="331" t="s">
        <v>856</v>
      </c>
      <c r="EL41" s="64" t="s">
        <v>851</v>
      </c>
      <c r="EM41" s="14" t="str">
        <f t="shared" si="83"/>
        <v>Large Twin.Big.Double</v>
      </c>
      <c r="EN41" s="172"/>
      <c r="EO41" s="64"/>
      <c r="EP41" s="64"/>
      <c r="EQ41" s="19" t="s">
        <v>493</v>
      </c>
      <c r="ER41" s="171" t="s">
        <v>491</v>
      </c>
      <c r="ES41" s="127" t="s">
        <v>1250</v>
      </c>
      <c r="ET41" s="342" t="s">
        <v>493</v>
      </c>
      <c r="EU41" t="str">
        <f t="shared" si="88"/>
        <v>Spurs_Spurs_FN</v>
      </c>
      <c r="EV41" s="105">
        <v>41</v>
      </c>
      <c r="EW41" s="64">
        <f t="shared" si="70"/>
        <v>0</v>
      </c>
      <c r="EX41" s="14">
        <f t="shared" si="80"/>
        <v>0</v>
      </c>
      <c r="EY41" s="304"/>
      <c r="EZ41" s="125" t="str">
        <f>D41</f>
        <v>Bearing Edge</v>
      </c>
      <c r="FA41" t="str">
        <f t="shared" si="81"/>
        <v>Single 45</v>
      </c>
      <c r="FB41" t="str">
        <f t="shared" si="84"/>
        <v>Change to</v>
      </c>
      <c r="FC41">
        <f t="shared" si="84"/>
        <v>0</v>
      </c>
      <c r="GE41" s="351"/>
    </row>
    <row r="42" spans="1:201" ht="15.75" thickBot="1" x14ac:dyDescent="0.3">
      <c r="A42" s="48" t="str">
        <f>IF(FN23=1,"Double","DblSngl")</f>
        <v>DblSngl</v>
      </c>
      <c r="B42" s="48" t="str">
        <f>IF(G42="Single","Single","Double")</f>
        <v>Double</v>
      </c>
      <c r="C42" s="74"/>
      <c r="D42" s="137" t="s">
        <v>850</v>
      </c>
      <c r="E42" s="298" t="s">
        <v>851</v>
      </c>
      <c r="F42" s="298" t="str">
        <f>IF(OR($C$2&lt;&gt;"Classic Maple",FN23=1),"No Option","Change to")</f>
        <v>Change to</v>
      </c>
      <c r="G42" s="165"/>
      <c r="H42" s="360" t="str">
        <f>IF(G42="","",0*Q42/P42)</f>
        <v/>
      </c>
      <c r="I42" s="183" t="str">
        <f ca="1">IF($G$42="","",IF(ISERROR(MATCH($G$42,INDIRECT(A42),0))=FALSE,"","Invalid Selection"))</f>
        <v/>
      </c>
      <c r="J42" s="216"/>
      <c r="L42" s="178"/>
      <c r="M42" s="41"/>
      <c r="N42" s="302"/>
      <c r="O42" s="357" t="str">
        <f>CONCATENATE("LF ",INDEX($AC$2:$AF$7,MATCH($C$2,$AE$2:$AE$7,0),1)," ",$BV$1)</f>
        <v>LF L8 1200102</v>
      </c>
      <c r="P42" s="311">
        <f>IFERROR(INDEX($CF:$CM,MATCH($O42,$CF:$CF,0),MATCH("Retail",$CF$107:$CM$107,0)),0)</f>
        <v>688</v>
      </c>
      <c r="Q42" s="311">
        <f>IFERROR(INDEX($CF:$CM,MATCH($O42,$CF:$CF,0),MATCH($L$1,$CF$107:$CM$107,0)),0)</f>
        <v>688</v>
      </c>
      <c r="R42" s="48"/>
      <c r="S42" t="s">
        <v>1101</v>
      </c>
      <c r="AE42" s="69" t="s">
        <v>413</v>
      </c>
      <c r="AF42" s="31" t="s">
        <v>530</v>
      </c>
      <c r="AG42" s="144" t="s">
        <v>463</v>
      </c>
      <c r="AH42" s="146" t="s">
        <v>115</v>
      </c>
      <c r="AI42" s="45" t="s">
        <v>424</v>
      </c>
      <c r="AJ42" s="147" t="s">
        <v>611</v>
      </c>
      <c r="AK42" s="148" t="s">
        <v>455</v>
      </c>
      <c r="AL42" s="28"/>
      <c r="AM42" s="204" t="s">
        <v>458</v>
      </c>
      <c r="AN42" s="28"/>
      <c r="AO42" s="28"/>
      <c r="AP42" s="28"/>
      <c r="AQ42" s="28"/>
      <c r="AR42" s="28"/>
      <c r="AS42" s="28"/>
      <c r="AT42" s="1" t="s">
        <v>471</v>
      </c>
      <c r="AX42" s="26"/>
      <c r="BA42" s="12" t="s">
        <v>58</v>
      </c>
      <c r="BB42" s="12"/>
      <c r="BC42" s="13" t="str">
        <f t="shared" si="85"/>
        <v>Classic Maple 8x8 Tom Tom</v>
      </c>
      <c r="BD42" s="12" t="s">
        <v>58</v>
      </c>
      <c r="BE42" s="100"/>
      <c r="BG42" s="15"/>
      <c r="BH42" s="12"/>
      <c r="BJ42" s="12"/>
      <c r="BK42" s="15"/>
      <c r="BL42" s="12"/>
      <c r="BO42" s="15"/>
      <c r="BP42" s="12"/>
      <c r="BR42" s="40" t="s">
        <v>667</v>
      </c>
      <c r="BS42" s="12" t="s">
        <v>58</v>
      </c>
      <c r="BT42" s="238"/>
      <c r="BU42" s="239" t="s">
        <v>58</v>
      </c>
      <c r="BV42" s="240" t="s">
        <v>667</v>
      </c>
      <c r="BW42" s="241">
        <f t="shared" si="86"/>
        <v>601</v>
      </c>
      <c r="BX42" s="241" t="e">
        <f t="shared" si="86"/>
        <v>#N/A</v>
      </c>
      <c r="BY42" s="241" t="e">
        <f t="shared" si="86"/>
        <v>#N/A</v>
      </c>
      <c r="BZ42" s="241" t="e">
        <f t="shared" si="86"/>
        <v>#N/A</v>
      </c>
      <c r="CA42" s="241">
        <f t="shared" si="86"/>
        <v>537</v>
      </c>
      <c r="CB42" s="241"/>
      <c r="CD42" s="241"/>
      <c r="CE42" s="241"/>
      <c r="CF42" s="239" t="str">
        <f t="shared" si="87"/>
        <v>8x8 Tom Tom</v>
      </c>
      <c r="CG42" s="130" t="s">
        <v>149</v>
      </c>
      <c r="CH42" s="153" t="e">
        <v>#N/A</v>
      </c>
      <c r="CI42" s="153" t="e">
        <v>#N/A</v>
      </c>
      <c r="CJ42" s="153" t="e">
        <v>#N/A</v>
      </c>
      <c r="CK42" s="130" t="s">
        <v>790</v>
      </c>
      <c r="CM42" s="288" t="s">
        <v>20</v>
      </c>
      <c r="CN42" s="27" t="str">
        <f t="shared" si="3"/>
        <v>Tom.12x15 Tom Tom</v>
      </c>
      <c r="CO42" s="12" t="s">
        <v>76</v>
      </c>
      <c r="CP42" s="93" t="str">
        <f t="shared" si="79"/>
        <v>MLLCLL</v>
      </c>
      <c r="CQ42" s="285" t="s">
        <v>831</v>
      </c>
      <c r="CR42" s="285" t="s">
        <v>829</v>
      </c>
      <c r="CS42" s="285" t="s">
        <v>731</v>
      </c>
      <c r="CT42" s="285"/>
      <c r="CU42" s="285"/>
      <c r="CV42" s="285"/>
      <c r="CW42" s="285"/>
      <c r="CX42" s="285"/>
      <c r="CY42" s="114" t="s">
        <v>569</v>
      </c>
      <c r="DC42" s="50"/>
      <c r="DE42" s="43"/>
      <c r="DF42" s="43"/>
      <c r="DG42" s="43"/>
      <c r="DH42" t="s">
        <v>601</v>
      </c>
      <c r="DM42" s="24"/>
      <c r="DN42" s="27"/>
      <c r="DO42" s="45"/>
      <c r="DP42" s="45"/>
      <c r="DQ42" s="41"/>
      <c r="DR42" s="41"/>
      <c r="DS42" s="41"/>
      <c r="DU42" s="41"/>
      <c r="DV42" s="41"/>
      <c r="DW42" s="41"/>
      <c r="DX42" s="41"/>
      <c r="DY42" s="41"/>
      <c r="DZ42" s="41"/>
      <c r="EA42" s="41"/>
      <c r="EB42" s="41"/>
      <c r="EC42" s="41"/>
      <c r="ED42" s="41"/>
      <c r="EF42" s="45"/>
      <c r="EI42" s="46"/>
      <c r="EJ42" t="s">
        <v>834</v>
      </c>
      <c r="EK42" s="331" t="s">
        <v>856</v>
      </c>
      <c r="EL42" s="64" t="s">
        <v>851</v>
      </c>
      <c r="EM42" s="14" t="str">
        <f t="shared" si="83"/>
        <v>Large Imperial.Big.Double</v>
      </c>
      <c r="EN42" s="340"/>
      <c r="EO42" s="64"/>
      <c r="EP42" s="64"/>
      <c r="EQ42" s="19" t="s">
        <v>493</v>
      </c>
      <c r="ER42" s="171" t="s">
        <v>491</v>
      </c>
      <c r="ES42" s="127" t="s">
        <v>1250</v>
      </c>
      <c r="ET42" s="342" t="s">
        <v>493</v>
      </c>
      <c r="EU42" t="str">
        <f t="shared" si="88"/>
        <v>Spurs_Spurs_FN</v>
      </c>
      <c r="EV42" s="105">
        <v>42</v>
      </c>
      <c r="EW42" s="64" t="str">
        <f t="shared" si="70"/>
        <v>DblSngl</v>
      </c>
      <c r="EX42" s="14" t="str">
        <f t="shared" si="80"/>
        <v>Double</v>
      </c>
      <c r="EY42" s="304"/>
      <c r="EZ42" s="125" t="str">
        <f>D42</f>
        <v>Double / Single Head</v>
      </c>
      <c r="FA42" t="str">
        <f t="shared" si="81"/>
        <v>Double</v>
      </c>
      <c r="FB42" t="str">
        <f t="shared" si="84"/>
        <v>Change to</v>
      </c>
      <c r="FC42">
        <f t="shared" si="84"/>
        <v>0</v>
      </c>
      <c r="GE42" s="14"/>
      <c r="GG42" s="85"/>
    </row>
    <row r="43" spans="1:201" ht="23.45" customHeight="1" thickBot="1" x14ac:dyDescent="0.4">
      <c r="A43" s="48"/>
      <c r="B43" s="48"/>
      <c r="C43" s="19"/>
      <c r="D43" s="138"/>
      <c r="E43" s="201" t="s">
        <v>992</v>
      </c>
      <c r="G43" s="202" t="s">
        <v>535</v>
      </c>
      <c r="H43" s="362"/>
      <c r="I43" s="19"/>
      <c r="J43" s="216"/>
      <c r="K43" s="52"/>
      <c r="L43" s="178"/>
      <c r="M43" s="41"/>
      <c r="N43" s="43"/>
      <c r="R43" s="48"/>
      <c r="T43" s="283" t="s">
        <v>1105</v>
      </c>
      <c r="AE43" s="69" t="s">
        <v>418</v>
      </c>
      <c r="AF43" s="31" t="s">
        <v>530</v>
      </c>
      <c r="AG43" s="144" t="s">
        <v>464</v>
      </c>
      <c r="AH43" s="146" t="s">
        <v>115</v>
      </c>
      <c r="AI43" s="45" t="s">
        <v>424</v>
      </c>
      <c r="AJ43" s="147" t="s">
        <v>611</v>
      </c>
      <c r="AK43" s="148" t="s">
        <v>455</v>
      </c>
      <c r="AL43" s="28"/>
      <c r="AM43" s="28"/>
      <c r="AN43" s="28"/>
      <c r="AO43" s="28"/>
      <c r="AP43" s="28"/>
      <c r="AQ43" s="28"/>
      <c r="AR43" s="28"/>
      <c r="AS43" s="28"/>
      <c r="AT43" s="1" t="s">
        <v>472</v>
      </c>
      <c r="AW43" s="6"/>
      <c r="AX43" s="26"/>
      <c r="BA43" s="12" t="s">
        <v>59</v>
      </c>
      <c r="BB43" s="12"/>
      <c r="BC43" s="13" t="str">
        <f t="shared" si="85"/>
        <v>Classic Maple 7x10 Tom Tom</v>
      </c>
      <c r="BD43" s="12" t="s">
        <v>59</v>
      </c>
      <c r="BE43" s="100"/>
      <c r="BI43" s="98"/>
      <c r="BM43" s="98"/>
      <c r="BQ43" s="94"/>
      <c r="BR43" s="40" t="s">
        <v>668</v>
      </c>
      <c r="BS43" s="12" t="s">
        <v>59</v>
      </c>
      <c r="BT43" s="238"/>
      <c r="BU43" s="239" t="s">
        <v>59</v>
      </c>
      <c r="BV43" s="240" t="s">
        <v>668</v>
      </c>
      <c r="BW43" s="241">
        <f t="shared" si="86"/>
        <v>710</v>
      </c>
      <c r="BX43" s="241">
        <f t="shared" si="86"/>
        <v>1446</v>
      </c>
      <c r="BY43" s="241">
        <f t="shared" si="86"/>
        <v>1446</v>
      </c>
      <c r="BZ43" s="241">
        <f t="shared" si="86"/>
        <v>1591</v>
      </c>
      <c r="CA43" s="241">
        <f t="shared" si="86"/>
        <v>660</v>
      </c>
      <c r="CB43" s="241"/>
      <c r="CC43" s="243" t="s">
        <v>1043</v>
      </c>
      <c r="CD43" s="313">
        <v>0</v>
      </c>
      <c r="CE43" s="242"/>
      <c r="CF43" s="239" t="str">
        <f t="shared" si="87"/>
        <v>7x10 Tom Tom</v>
      </c>
      <c r="CG43" s="130" t="s">
        <v>150</v>
      </c>
      <c r="CH43" s="130" t="s">
        <v>208</v>
      </c>
      <c r="CI43" s="130" t="s">
        <v>266</v>
      </c>
      <c r="CJ43" s="130" t="s">
        <v>324</v>
      </c>
      <c r="CK43" s="130" t="s">
        <v>791</v>
      </c>
      <c r="CL43" s="94"/>
      <c r="CM43" s="288" t="s">
        <v>20</v>
      </c>
      <c r="CN43" s="27" t="str">
        <f t="shared" si="3"/>
        <v>Tom.13x14 Tom Tom</v>
      </c>
      <c r="CO43" s="12" t="s">
        <v>74</v>
      </c>
      <c r="CP43" s="93" t="str">
        <f t="shared" si="79"/>
        <v>MLLCLL</v>
      </c>
      <c r="CQ43" s="285" t="s">
        <v>831</v>
      </c>
      <c r="CR43" s="285" t="s">
        <v>829</v>
      </c>
      <c r="CS43" s="285" t="s">
        <v>731</v>
      </c>
      <c r="CT43" s="285"/>
      <c r="CU43" s="285"/>
      <c r="CV43" s="285"/>
      <c r="CW43" s="285"/>
      <c r="CX43" s="285"/>
      <c r="CY43" s="114" t="s">
        <v>570</v>
      </c>
      <c r="DC43" s="50"/>
      <c r="DD43" s="77"/>
      <c r="DE43" s="78" t="s">
        <v>83</v>
      </c>
      <c r="DF43" s="43" t="s">
        <v>853</v>
      </c>
      <c r="DG43" s="9" t="s">
        <v>380</v>
      </c>
      <c r="DH43" s="9" t="s">
        <v>382</v>
      </c>
      <c r="DI43" s="9"/>
      <c r="DM43" s="24"/>
      <c r="DN43" s="27"/>
      <c r="DO43" s="45"/>
      <c r="DP43" s="45"/>
      <c r="DQ43" s="41"/>
      <c r="DR43" s="41"/>
      <c r="DS43" s="41"/>
      <c r="DY43" s="41"/>
      <c r="DZ43" s="41"/>
      <c r="EA43" s="41"/>
      <c r="EB43" s="41"/>
      <c r="EC43" s="41"/>
      <c r="ED43" s="41"/>
      <c r="EF43" s="45"/>
      <c r="EI43" s="46"/>
      <c r="EJ43" s="8" t="s">
        <v>357</v>
      </c>
      <c r="EK43" s="331" t="s">
        <v>855</v>
      </c>
      <c r="EL43" s="64" t="s">
        <v>851</v>
      </c>
      <c r="EM43" s="14" t="str">
        <f t="shared" si="83"/>
        <v>Mini Classic.Small.Double</v>
      </c>
      <c r="EN43" s="172" t="s">
        <v>492</v>
      </c>
      <c r="EO43" s="19" t="s">
        <v>486</v>
      </c>
      <c r="EP43" s="64"/>
      <c r="EQ43" s="19" t="s">
        <v>493</v>
      </c>
      <c r="ER43" s="171" t="s">
        <v>491</v>
      </c>
      <c r="ES43" s="127" t="s">
        <v>1251</v>
      </c>
      <c r="ET43" s="342" t="s">
        <v>486</v>
      </c>
      <c r="EU43" t="str">
        <f t="shared" ref="EU43:EU57" si="89">CONCATENATE("Spurs_",ES43)</f>
        <v>Spurs_Spurs_AEFN</v>
      </c>
      <c r="EV43" s="105">
        <v>43</v>
      </c>
      <c r="EW43" s="64">
        <f t="shared" si="70"/>
        <v>0</v>
      </c>
      <c r="EX43" s="14">
        <f t="shared" si="80"/>
        <v>0</v>
      </c>
      <c r="EY43" s="304"/>
      <c r="EZ43" s="304"/>
      <c r="FA43" s="306" t="str">
        <f t="shared" si="81"/>
        <v>Standard Options:</v>
      </c>
      <c r="FE43">
        <v>12</v>
      </c>
      <c r="FF43">
        <v>10</v>
      </c>
      <c r="FG43">
        <v>9</v>
      </c>
      <c r="FJ43" s="24"/>
      <c r="GE43" s="14"/>
    </row>
    <row r="44" spans="1:201" ht="14.45" customHeight="1" x14ac:dyDescent="0.25">
      <c r="A44" s="48"/>
      <c r="B44" s="112" t="s">
        <v>632</v>
      </c>
      <c r="C44" s="180" t="s">
        <v>525</v>
      </c>
      <c r="D44" s="71" t="s">
        <v>527</v>
      </c>
      <c r="E44" s="298" t="s">
        <v>528</v>
      </c>
      <c r="F44" s="298" t="s">
        <v>498</v>
      </c>
      <c r="G44" s="325"/>
      <c r="H44" s="363" t="str">
        <f>IF(G44="","",0*Q44/P44)</f>
        <v/>
      </c>
      <c r="I44" s="178"/>
      <c r="J44" s="216"/>
      <c r="K44" s="178"/>
      <c r="M44" s="41"/>
      <c r="N44" s="302"/>
      <c r="O44" s="357" t="str">
        <f t="shared" ref="O44:O50" si="90">CONCATENATE("LS ",INDEX($AC$2:$AF$7,MATCH($C$2,$AE$2:$AE$7,0),1)," ",$BV$1)</f>
        <v>LS L8 1200102</v>
      </c>
      <c r="P44" s="311">
        <f t="shared" ref="P44:P50" si="91">IFERROR(INDEX($CF:$CM,MATCH($O44,$CF:$CF,0),MATCH("Retail",$CF$107:$CM$107,0)),0)</f>
        <v>712</v>
      </c>
      <c r="Q44" s="311">
        <f t="shared" ref="Q44:Q50" si="92">IFERROR(INDEX($CF:$CM,MATCH($O44,$CF:$CF,0),MATCH($L$1,$CF$107:$CM$107,0)),0)</f>
        <v>712</v>
      </c>
      <c r="R44" s="48"/>
      <c r="T44" s="283" t="s">
        <v>1102</v>
      </c>
      <c r="AE44" s="69" t="s">
        <v>421</v>
      </c>
      <c r="AF44" s="31" t="s">
        <v>530</v>
      </c>
      <c r="AG44" s="144" t="s">
        <v>465</v>
      </c>
      <c r="AH44" s="146" t="s">
        <v>115</v>
      </c>
      <c r="AI44" s="45" t="s">
        <v>424</v>
      </c>
      <c r="AJ44" s="147" t="s">
        <v>611</v>
      </c>
      <c r="AK44" s="148" t="s">
        <v>455</v>
      </c>
      <c r="AL44" s="28"/>
      <c r="AM44" s="28"/>
      <c r="AN44" s="28"/>
      <c r="AO44" s="28"/>
      <c r="AP44" s="28"/>
      <c r="AQ44" s="28"/>
      <c r="AR44" s="28"/>
      <c r="AS44" s="28"/>
      <c r="AT44" s="204" t="s">
        <v>989</v>
      </c>
      <c r="AX44" s="26"/>
      <c r="BA44" s="12" t="s">
        <v>60</v>
      </c>
      <c r="BB44" s="12"/>
      <c r="BC44" s="13" t="str">
        <f t="shared" si="85"/>
        <v xml:space="preserve">Classic Maple 7.5x10 Tom Tom </v>
      </c>
      <c r="BD44" s="12" t="s">
        <v>60</v>
      </c>
      <c r="BE44" s="100"/>
      <c r="BG44" s="13" t="str">
        <f>BH$1&amp;" "&amp;BH44</f>
        <v>Legacy Maple 7x10 Tom Tom</v>
      </c>
      <c r="BH44" s="12" t="s">
        <v>59</v>
      </c>
      <c r="BK44" s="13" t="str">
        <f>BL$1&amp;" "&amp;BL44</f>
        <v>Legacy Mahogany 7x10 Tom Tom</v>
      </c>
      <c r="BL44" s="12" t="s">
        <v>59</v>
      </c>
      <c r="BO44" s="13" t="str">
        <f>BP$1&amp;" "&amp;BP44</f>
        <v>Legacy Exotic 7x10 Tom Tom</v>
      </c>
      <c r="BP44" s="12" t="s">
        <v>59</v>
      </c>
      <c r="BR44" s="40" t="s">
        <v>674</v>
      </c>
      <c r="BS44" s="12" t="s">
        <v>60</v>
      </c>
      <c r="BT44" s="238"/>
      <c r="BU44" s="239" t="s">
        <v>60</v>
      </c>
      <c r="BV44" s="240" t="s">
        <v>674</v>
      </c>
      <c r="BW44" s="241">
        <f t="shared" si="86"/>
        <v>710</v>
      </c>
      <c r="BX44" s="241">
        <f t="shared" si="86"/>
        <v>1446</v>
      </c>
      <c r="BY44" s="241">
        <f t="shared" si="86"/>
        <v>1446</v>
      </c>
      <c r="BZ44" s="241">
        <f t="shared" si="86"/>
        <v>1591</v>
      </c>
      <c r="CA44" s="241">
        <f t="shared" si="86"/>
        <v>660</v>
      </c>
      <c r="CB44" s="241"/>
      <c r="CC44" s="243" t="s">
        <v>1044</v>
      </c>
      <c r="CD44" s="313">
        <v>0</v>
      </c>
      <c r="CE44" s="242"/>
      <c r="CF44" s="239" t="str">
        <f t="shared" si="87"/>
        <v xml:space="preserve">7.5x10 Tom Tom </v>
      </c>
      <c r="CG44" s="130" t="s">
        <v>151</v>
      </c>
      <c r="CH44" s="215" t="s">
        <v>915</v>
      </c>
      <c r="CI44" s="215" t="s">
        <v>916</v>
      </c>
      <c r="CJ44" s="215" t="s">
        <v>917</v>
      </c>
      <c r="CK44" s="130" t="s">
        <v>792</v>
      </c>
      <c r="CM44" s="288" t="s">
        <v>20</v>
      </c>
      <c r="CN44" s="27" t="str">
        <f t="shared" si="3"/>
        <v>Tom.13x15 Tom Tom</v>
      </c>
      <c r="CO44" s="12" t="s">
        <v>77</v>
      </c>
      <c r="CP44" s="93" t="str">
        <f t="shared" si="79"/>
        <v>MLLCLL</v>
      </c>
      <c r="CQ44" s="285" t="s">
        <v>831</v>
      </c>
      <c r="CR44" s="285" t="s">
        <v>829</v>
      </c>
      <c r="CS44" s="285" t="s">
        <v>731</v>
      </c>
      <c r="CT44" s="285"/>
      <c r="CU44" s="285"/>
      <c r="CV44" s="285"/>
      <c r="CW44" s="285"/>
      <c r="CX44" s="285"/>
      <c r="CY44" s="114" t="s">
        <v>569</v>
      </c>
      <c r="DC44" s="50"/>
      <c r="DD44" s="77"/>
      <c r="DE44" s="78" t="s">
        <v>85</v>
      </c>
      <c r="DF44" s="43" t="s">
        <v>853</v>
      </c>
      <c r="DG44" s="9"/>
      <c r="DH44" s="29"/>
      <c r="DI44" s="9"/>
      <c r="DM44" s="24"/>
      <c r="DN44" s="27"/>
      <c r="DO44" s="45"/>
      <c r="DP44" s="45"/>
      <c r="DQ44" s="41"/>
      <c r="DR44" s="41"/>
      <c r="DS44" s="41"/>
      <c r="DV44" s="41"/>
      <c r="DX44" s="41"/>
      <c r="DY44" s="41"/>
      <c r="DZ44" s="41"/>
      <c r="EA44" s="41"/>
      <c r="EB44" s="41"/>
      <c r="EC44" s="41"/>
      <c r="ED44" s="41"/>
      <c r="EF44" s="45"/>
      <c r="EI44" s="46"/>
      <c r="EJ44" t="s">
        <v>356</v>
      </c>
      <c r="EK44" s="331" t="s">
        <v>855</v>
      </c>
      <c r="EL44" s="64" t="s">
        <v>851</v>
      </c>
      <c r="EM44" s="14" t="str">
        <f t="shared" si="83"/>
        <v>Large Classic.Small.Double</v>
      </c>
      <c r="EN44" s="172" t="s">
        <v>492</v>
      </c>
      <c r="EO44" s="19" t="s">
        <v>486</v>
      </c>
      <c r="EP44" s="64"/>
      <c r="EQ44" s="19" t="s">
        <v>493</v>
      </c>
      <c r="ER44" s="171" t="s">
        <v>491</v>
      </c>
      <c r="ES44" s="127" t="s">
        <v>1251</v>
      </c>
      <c r="ET44" s="342" t="s">
        <v>486</v>
      </c>
      <c r="EU44" t="str">
        <f t="shared" si="89"/>
        <v>Spurs_Spurs_AEFN</v>
      </c>
      <c r="EV44" s="105">
        <v>44</v>
      </c>
      <c r="EW44" s="64">
        <f t="shared" si="70"/>
        <v>0</v>
      </c>
      <c r="EX44" s="14" t="str">
        <f t="shared" si="80"/>
        <v>SD Count</v>
      </c>
      <c r="EY44" s="26" t="str">
        <f>C44</f>
        <v>Snare Details</v>
      </c>
      <c r="EZ44" s="14" t="str">
        <f>D44</f>
        <v>Butt</v>
      </c>
      <c r="FA44" t="str">
        <f t="shared" si="81"/>
        <v>P35 Atlas</v>
      </c>
      <c r="FB44" t="str">
        <f t="shared" ref="FB44:FC49" si="93">F44</f>
        <v>Change to</v>
      </c>
      <c r="FC44">
        <f t="shared" si="93"/>
        <v>0</v>
      </c>
      <c r="FJ44" s="24"/>
    </row>
    <row r="45" spans="1:201" x14ac:dyDescent="0.25">
      <c r="A45" s="158" t="s">
        <v>632</v>
      </c>
      <c r="B45" s="159">
        <f>COUNTIF($B$8:$B$20,"Snare")</f>
        <v>0</v>
      </c>
      <c r="C45" s="73"/>
      <c r="D45" s="72" t="s">
        <v>520</v>
      </c>
      <c r="E45" s="298" t="s">
        <v>529</v>
      </c>
      <c r="F45" s="298" t="s">
        <v>498</v>
      </c>
      <c r="G45" s="200"/>
      <c r="H45" s="360" t="str">
        <f>IF(G45="Baseball Bat Tone Control",CD202*Q45/P45,"")</f>
        <v/>
      </c>
      <c r="I45" s="178"/>
      <c r="J45" s="223"/>
      <c r="K45" s="178"/>
      <c r="M45" s="41"/>
      <c r="N45" s="302"/>
      <c r="O45" s="357" t="str">
        <f t="shared" si="90"/>
        <v>LS L8 1200102</v>
      </c>
      <c r="P45" s="311">
        <f t="shared" si="91"/>
        <v>712</v>
      </c>
      <c r="Q45" s="311">
        <f t="shared" si="92"/>
        <v>712</v>
      </c>
      <c r="R45" s="48"/>
      <c r="T45" s="283" t="s">
        <v>1145</v>
      </c>
      <c r="AE45" s="69" t="s">
        <v>424</v>
      </c>
      <c r="AF45" s="31" t="s">
        <v>530</v>
      </c>
      <c r="AG45" s="144" t="s">
        <v>466</v>
      </c>
      <c r="AH45" s="146" t="s">
        <v>115</v>
      </c>
      <c r="AI45" s="45" t="s">
        <v>424</v>
      </c>
      <c r="AJ45" s="147" t="s">
        <v>611</v>
      </c>
      <c r="AK45" s="148" t="s">
        <v>455</v>
      </c>
      <c r="AL45" s="28"/>
      <c r="AM45" s="28"/>
      <c r="AN45" s="28"/>
      <c r="AO45" s="28"/>
      <c r="AP45" s="28"/>
      <c r="AQ45" s="28"/>
      <c r="AR45" s="28"/>
      <c r="AS45" s="28"/>
      <c r="AT45" s="1" t="s">
        <v>447</v>
      </c>
      <c r="AX45" s="26"/>
      <c r="AY45" s="22"/>
      <c r="AZ45" s="22"/>
      <c r="BA45" s="12" t="s">
        <v>61</v>
      </c>
      <c r="BB45" s="12"/>
      <c r="BC45" s="13" t="str">
        <f t="shared" si="85"/>
        <v>Classic Maple 8x10 Tom Tom</v>
      </c>
      <c r="BD45" s="12" t="s">
        <v>61</v>
      </c>
      <c r="BE45" s="100"/>
      <c r="BG45" s="13" t="str">
        <f t="shared" ref="BG45:BG67" si="94">BH$1&amp;" "&amp;BH45</f>
        <v>Legacy Maple 8x10 Tom Tom</v>
      </c>
      <c r="BH45" s="12" t="s">
        <v>61</v>
      </c>
      <c r="BI45" s="98"/>
      <c r="BJ45" s="12"/>
      <c r="BK45" s="13" t="str">
        <f t="shared" ref="BK45:BK67" si="95">BL$1&amp;" "&amp;BL45</f>
        <v>Legacy Mahogany 8x10 Tom Tom</v>
      </c>
      <c r="BL45" s="12" t="s">
        <v>61</v>
      </c>
      <c r="BM45" s="98"/>
      <c r="BN45" s="12"/>
      <c r="BO45" s="13" t="str">
        <f t="shared" ref="BO45:BO67" si="96">BP$1&amp;" "&amp;BP45</f>
        <v>Legacy Exotic 8x10 Tom Tom</v>
      </c>
      <c r="BP45" s="12" t="s">
        <v>61</v>
      </c>
      <c r="BQ45" s="94"/>
      <c r="BR45" s="40" t="s">
        <v>669</v>
      </c>
      <c r="BS45" s="12" t="s">
        <v>61</v>
      </c>
      <c r="BT45" s="238"/>
      <c r="BU45" s="239" t="s">
        <v>61</v>
      </c>
      <c r="BV45" s="240" t="s">
        <v>669</v>
      </c>
      <c r="BW45" s="241">
        <f t="shared" si="86"/>
        <v>710</v>
      </c>
      <c r="BX45" s="241">
        <f t="shared" si="86"/>
        <v>1446</v>
      </c>
      <c r="BY45" s="241">
        <f t="shared" si="86"/>
        <v>1446</v>
      </c>
      <c r="BZ45" s="241">
        <f t="shared" si="86"/>
        <v>1591</v>
      </c>
      <c r="CA45" s="241">
        <f t="shared" si="86"/>
        <v>660</v>
      </c>
      <c r="CB45" s="241"/>
      <c r="CC45" s="243" t="s">
        <v>1045</v>
      </c>
      <c r="CD45" s="313">
        <v>0</v>
      </c>
      <c r="CE45" s="242"/>
      <c r="CF45" s="239" t="str">
        <f t="shared" si="87"/>
        <v>8x10 Tom Tom</v>
      </c>
      <c r="CG45" s="130" t="s">
        <v>152</v>
      </c>
      <c r="CH45" s="130" t="s">
        <v>209</v>
      </c>
      <c r="CI45" s="130" t="s">
        <v>267</v>
      </c>
      <c r="CJ45" s="130" t="s">
        <v>325</v>
      </c>
      <c r="CK45" s="130" t="s">
        <v>793</v>
      </c>
      <c r="CL45" s="94"/>
      <c r="CM45" s="288" t="s">
        <v>20</v>
      </c>
      <c r="CN45" s="27" t="str">
        <f t="shared" si="3"/>
        <v xml:space="preserve">Tom.13x16 Tom Tom </v>
      </c>
      <c r="CO45" s="12" t="s">
        <v>81</v>
      </c>
      <c r="CP45" s="93" t="str">
        <f t="shared" si="79"/>
        <v>MLLCLL</v>
      </c>
      <c r="CQ45" s="285" t="s">
        <v>831</v>
      </c>
      <c r="CR45" s="285" t="s">
        <v>829</v>
      </c>
      <c r="CS45" s="285" t="s">
        <v>731</v>
      </c>
      <c r="CT45" s="285"/>
      <c r="CU45" s="285"/>
      <c r="CV45" s="285"/>
      <c r="CW45" s="285"/>
      <c r="CX45" s="285"/>
      <c r="CY45" s="114" t="s">
        <v>570</v>
      </c>
      <c r="DC45" s="50"/>
      <c r="DD45" s="77"/>
      <c r="DE45" s="78" t="s">
        <v>86</v>
      </c>
      <c r="DF45" s="43" t="s">
        <v>853</v>
      </c>
      <c r="DG45" s="9"/>
      <c r="DH45" s="29"/>
      <c r="DI45" s="9"/>
      <c r="DM45" s="24"/>
      <c r="DN45" s="27"/>
      <c r="DO45" s="45"/>
      <c r="DP45" s="45"/>
      <c r="DQ45" s="41"/>
      <c r="DR45" s="41"/>
      <c r="DS45" s="41"/>
      <c r="DU45" s="41"/>
      <c r="DV45" s="41"/>
      <c r="DW45" s="41"/>
      <c r="DX45" s="41"/>
      <c r="DY45" s="41"/>
      <c r="DZ45" s="41"/>
      <c r="EA45" s="41"/>
      <c r="EB45" s="41"/>
      <c r="EC45" s="41"/>
      <c r="ED45" s="41"/>
      <c r="EE45" s="41"/>
      <c r="EF45" s="45"/>
      <c r="EI45" s="46"/>
      <c r="EJ45" s="107" t="s">
        <v>1139</v>
      </c>
      <c r="EK45" s="331" t="s">
        <v>855</v>
      </c>
      <c r="EL45" s="64" t="s">
        <v>851</v>
      </c>
      <c r="EM45" s="14" t="str">
        <f t="shared" si="83"/>
        <v>Mach Lugs.Small.Double</v>
      </c>
      <c r="EN45" s="172"/>
      <c r="EO45" s="19" t="s">
        <v>486</v>
      </c>
      <c r="EP45" s="64"/>
      <c r="EQ45" s="19" t="s">
        <v>493</v>
      </c>
      <c r="ER45" s="171" t="s">
        <v>491</v>
      </c>
      <c r="ES45" s="127" t="s">
        <v>1252</v>
      </c>
      <c r="ET45" s="342" t="s">
        <v>486</v>
      </c>
      <c r="EU45" t="str">
        <f t="shared" si="89"/>
        <v>Spurs_Spurs_EFN</v>
      </c>
      <c r="EV45" s="105">
        <v>45</v>
      </c>
      <c r="EW45" s="64" t="str">
        <f t="shared" si="70"/>
        <v>SD Count</v>
      </c>
      <c r="EX45" s="14">
        <f t="shared" si="80"/>
        <v>0</v>
      </c>
      <c r="EY45" s="304"/>
      <c r="EZ45" s="14" t="str">
        <f t="shared" ref="EZ45:EZ50" si="97">D45</f>
        <v>Tone Control</v>
      </c>
      <c r="FA45" t="str">
        <f t="shared" si="81"/>
        <v>No</v>
      </c>
      <c r="FB45" t="str">
        <f t="shared" si="93"/>
        <v>Change to</v>
      </c>
      <c r="FC45">
        <f t="shared" si="93"/>
        <v>0</v>
      </c>
      <c r="FF45" t="s">
        <v>383</v>
      </c>
      <c r="FG45" s="90"/>
      <c r="FI45" s="24" t="s">
        <v>641</v>
      </c>
      <c r="FJ45" s="90" t="s">
        <v>15</v>
      </c>
    </row>
    <row r="46" spans="1:201" x14ac:dyDescent="0.25">
      <c r="A46" s="48"/>
      <c r="B46" s="48"/>
      <c r="C46" s="73"/>
      <c r="D46" s="72" t="s">
        <v>540</v>
      </c>
      <c r="E46" s="298" t="s">
        <v>542</v>
      </c>
      <c r="F46" s="298" t="str">
        <f>IF(BD84 = "Triple_Flange", "No Option", "Change to")</f>
        <v>Change to</v>
      </c>
      <c r="G46" s="200"/>
      <c r="H46" s="360" t="str">
        <f>IF(G46="Pair Die Cast Hoops",CD206*Q46/P46,"")</f>
        <v/>
      </c>
      <c r="I46" s="183" t="str">
        <f ca="1">IF(OR($G$46="",$G$46="Triple Flange"),"",IF(ISERROR(MATCH($G$46,INDIRECT(BD84),0))=FALSE,"","Invalid Selection"))</f>
        <v/>
      </c>
      <c r="J46" s="216"/>
      <c r="K46" s="178"/>
      <c r="M46" s="41"/>
      <c r="N46" s="302"/>
      <c r="O46" s="357" t="str">
        <f t="shared" si="90"/>
        <v>LS L8 1200102</v>
      </c>
      <c r="P46" s="311">
        <f t="shared" si="91"/>
        <v>712</v>
      </c>
      <c r="Q46" s="311">
        <f t="shared" si="92"/>
        <v>712</v>
      </c>
      <c r="R46" s="48"/>
      <c r="T46" s="283" t="s">
        <v>1146</v>
      </c>
      <c r="AG46" s="144" t="s">
        <v>467</v>
      </c>
      <c r="AH46" s="146" t="s">
        <v>115</v>
      </c>
      <c r="AI46" s="45" t="s">
        <v>424</v>
      </c>
      <c r="AJ46" s="147" t="s">
        <v>618</v>
      </c>
      <c r="AK46" s="148" t="s">
        <v>455</v>
      </c>
      <c r="AL46" s="28"/>
      <c r="AM46" s="28"/>
      <c r="AN46" s="28"/>
      <c r="AO46" s="28"/>
      <c r="AP46" s="28"/>
      <c r="AQ46" s="28"/>
      <c r="AR46" s="28"/>
      <c r="AS46" s="28"/>
      <c r="AT46" s="1" t="s">
        <v>448</v>
      </c>
      <c r="AX46" s="26"/>
      <c r="AY46" s="22"/>
      <c r="AZ46" s="22"/>
      <c r="BA46" s="12" t="s">
        <v>62</v>
      </c>
      <c r="BB46" s="12"/>
      <c r="BC46" s="13" t="str">
        <f t="shared" si="85"/>
        <v>Classic Maple 9x10 Tom Tom</v>
      </c>
      <c r="BD46" s="12" t="s">
        <v>62</v>
      </c>
      <c r="BE46" s="100"/>
      <c r="BG46" s="13" t="str">
        <f t="shared" si="94"/>
        <v>Legacy Maple 9x10 Tom Tom</v>
      </c>
      <c r="BH46" s="12" t="s">
        <v>62</v>
      </c>
      <c r="BI46" s="98"/>
      <c r="BJ46" s="12"/>
      <c r="BK46" s="13" t="str">
        <f t="shared" si="95"/>
        <v>Legacy Mahogany 9x10 Tom Tom</v>
      </c>
      <c r="BL46" s="12" t="s">
        <v>62</v>
      </c>
      <c r="BM46" s="98"/>
      <c r="BN46" s="12"/>
      <c r="BO46" s="13" t="str">
        <f t="shared" si="96"/>
        <v>Legacy Exotic 9x10 Tom Tom</v>
      </c>
      <c r="BP46" s="12" t="s">
        <v>62</v>
      </c>
      <c r="BQ46" s="94"/>
      <c r="BR46" s="40" t="s">
        <v>670</v>
      </c>
      <c r="BS46" s="12" t="s">
        <v>62</v>
      </c>
      <c r="BT46" s="238"/>
      <c r="BU46" s="239" t="s">
        <v>62</v>
      </c>
      <c r="BV46" s="240" t="s">
        <v>670</v>
      </c>
      <c r="BW46" s="241">
        <f t="shared" si="86"/>
        <v>710</v>
      </c>
      <c r="BX46" s="241">
        <f t="shared" si="86"/>
        <v>1446</v>
      </c>
      <c r="BY46" s="241">
        <f t="shared" si="86"/>
        <v>1446</v>
      </c>
      <c r="BZ46" s="241">
        <f t="shared" si="86"/>
        <v>1591</v>
      </c>
      <c r="CA46" s="241">
        <f t="shared" si="86"/>
        <v>660</v>
      </c>
      <c r="CB46" s="241"/>
      <c r="CC46" s="243" t="s">
        <v>1046</v>
      </c>
      <c r="CD46" s="313">
        <v>0</v>
      </c>
      <c r="CE46" s="242"/>
      <c r="CF46" s="239" t="str">
        <f t="shared" si="87"/>
        <v>9x10 Tom Tom</v>
      </c>
      <c r="CG46" s="130" t="s">
        <v>153</v>
      </c>
      <c r="CH46" s="130" t="s">
        <v>210</v>
      </c>
      <c r="CI46" s="130" t="s">
        <v>268</v>
      </c>
      <c r="CJ46" s="130" t="s">
        <v>326</v>
      </c>
      <c r="CK46" s="130" t="s">
        <v>794</v>
      </c>
      <c r="CL46" s="94"/>
      <c r="CM46" s="288" t="s">
        <v>20</v>
      </c>
      <c r="CN46" s="27" t="str">
        <f t="shared" si="3"/>
        <v>Tom.14x14 Tom Tom</v>
      </c>
      <c r="CO46" s="12" t="s">
        <v>75</v>
      </c>
      <c r="CP46" s="93" t="str">
        <f t="shared" si="79"/>
        <v>MLLCLL</v>
      </c>
      <c r="CQ46" s="285" t="s">
        <v>831</v>
      </c>
      <c r="CR46" s="285" t="s">
        <v>829</v>
      </c>
      <c r="CS46" s="285" t="s">
        <v>731</v>
      </c>
      <c r="CT46" s="285"/>
      <c r="CU46" s="285"/>
      <c r="CV46" s="285"/>
      <c r="CW46" s="285"/>
      <c r="CX46" s="285"/>
      <c r="CY46" s="114" t="s">
        <v>570</v>
      </c>
      <c r="DC46" s="50"/>
      <c r="DE46" s="78" t="s">
        <v>1206</v>
      </c>
      <c r="DF46" s="43" t="s">
        <v>853</v>
      </c>
      <c r="DM46" s="24"/>
      <c r="DN46" s="27"/>
      <c r="DO46" s="45"/>
      <c r="DP46" s="45"/>
      <c r="DQ46" s="41"/>
      <c r="DR46" s="41"/>
      <c r="DS46" s="41"/>
      <c r="DU46" s="41"/>
      <c r="DV46" s="41"/>
      <c r="DW46" s="41"/>
      <c r="DX46" s="41"/>
      <c r="DZ46" s="41"/>
      <c r="EA46" s="41"/>
      <c r="EB46" s="41"/>
      <c r="EC46" s="41"/>
      <c r="ED46" s="41"/>
      <c r="EE46" s="41"/>
      <c r="EF46" s="45"/>
      <c r="EI46" s="46"/>
      <c r="EJ46" t="s">
        <v>359</v>
      </c>
      <c r="EK46" s="331" t="s">
        <v>855</v>
      </c>
      <c r="EL46" s="64" t="s">
        <v>851</v>
      </c>
      <c r="EM46" s="14" t="str">
        <f t="shared" si="83"/>
        <v>Large Twin.Small.Double</v>
      </c>
      <c r="EN46" s="172"/>
      <c r="EO46" s="64"/>
      <c r="EP46" s="64"/>
      <c r="EQ46" s="19" t="s">
        <v>493</v>
      </c>
      <c r="ER46" s="171" t="s">
        <v>491</v>
      </c>
      <c r="ES46" s="127" t="s">
        <v>1250</v>
      </c>
      <c r="ET46" s="342" t="s">
        <v>493</v>
      </c>
      <c r="EU46" t="str">
        <f t="shared" si="89"/>
        <v>Spurs_Spurs_FN</v>
      </c>
      <c r="EV46" s="105">
        <v>46</v>
      </c>
      <c r="EW46" s="64">
        <f t="shared" si="70"/>
        <v>0</v>
      </c>
      <c r="EX46" s="14">
        <f t="shared" si="80"/>
        <v>0</v>
      </c>
      <c r="EY46" s="304"/>
      <c r="EZ46" s="14" t="str">
        <f t="shared" si="97"/>
        <v>Hoops</v>
      </c>
      <c r="FA46" t="str">
        <f t="shared" si="81"/>
        <v>Triple Flange</v>
      </c>
      <c r="FB46" t="str">
        <f t="shared" si="93"/>
        <v>Change to</v>
      </c>
      <c r="FC46">
        <f t="shared" si="93"/>
        <v>0</v>
      </c>
      <c r="FE46" s="24">
        <f>IF(COUNTIF(Mounts,"*"&amp;FF46&amp;"*")&gt;0=TRUE,1,0)</f>
        <v>0</v>
      </c>
      <c r="FF46" s="29" t="s">
        <v>1221</v>
      </c>
      <c r="FG46" s="90"/>
      <c r="FI46" s="24">
        <v>12</v>
      </c>
      <c r="FJ46" s="113" t="s">
        <v>396</v>
      </c>
      <c r="FK46" t="s">
        <v>642</v>
      </c>
    </row>
    <row r="47" spans="1:201" x14ac:dyDescent="0.25">
      <c r="A47" s="48"/>
      <c r="B47" s="48"/>
      <c r="C47" s="73"/>
      <c r="D47" s="72" t="s">
        <v>522</v>
      </c>
      <c r="E47" s="298" t="s">
        <v>1282</v>
      </c>
      <c r="F47" s="298" t="s">
        <v>498</v>
      </c>
      <c r="G47" s="200"/>
      <c r="H47" s="360" t="str">
        <f>IF(G47="","",0*Q47/P47)</f>
        <v/>
      </c>
      <c r="I47" s="178"/>
      <c r="J47" s="216"/>
      <c r="K47" s="178"/>
      <c r="M47" s="41"/>
      <c r="N47" s="302"/>
      <c r="O47" s="357" t="str">
        <f t="shared" si="90"/>
        <v>LS L8 1200102</v>
      </c>
      <c r="P47" s="311">
        <f t="shared" si="91"/>
        <v>712</v>
      </c>
      <c r="Q47" s="311">
        <f t="shared" si="92"/>
        <v>712</v>
      </c>
      <c r="R47" s="48"/>
      <c r="T47" s="283" t="s">
        <v>1265</v>
      </c>
      <c r="AG47" s="144" t="s">
        <v>468</v>
      </c>
      <c r="AH47" s="146" t="s">
        <v>115</v>
      </c>
      <c r="AI47" s="45" t="s">
        <v>424</v>
      </c>
      <c r="AJ47" s="147" t="s">
        <v>614</v>
      </c>
      <c r="AK47" s="148" t="s">
        <v>455</v>
      </c>
      <c r="AL47" s="28"/>
      <c r="AM47" s="28"/>
      <c r="AN47" s="28"/>
      <c r="AO47" s="28"/>
      <c r="AP47" s="28"/>
      <c r="AQ47" s="28"/>
      <c r="AR47" s="28"/>
      <c r="AS47" s="28"/>
      <c r="AT47" s="204" t="s">
        <v>449</v>
      </c>
      <c r="AX47" s="26"/>
      <c r="AY47" s="22"/>
      <c r="AZ47" s="22"/>
      <c r="BA47" s="12" t="s">
        <v>63</v>
      </c>
      <c r="BB47" s="12"/>
      <c r="BC47" s="13" t="str">
        <f t="shared" si="85"/>
        <v>Classic Maple 8x12 Tom Tom</v>
      </c>
      <c r="BD47" s="12" t="s">
        <v>63</v>
      </c>
      <c r="BE47" s="100"/>
      <c r="BG47" s="13" t="str">
        <f t="shared" si="94"/>
        <v>Legacy Maple 8x12 Tom Tom</v>
      </c>
      <c r="BH47" s="12" t="s">
        <v>63</v>
      </c>
      <c r="BI47" s="98"/>
      <c r="BJ47" s="12"/>
      <c r="BK47" s="13" t="str">
        <f t="shared" si="95"/>
        <v>Legacy Mahogany 8x12 Tom Tom</v>
      </c>
      <c r="BL47" s="12" t="s">
        <v>63</v>
      </c>
      <c r="BM47" s="98"/>
      <c r="BN47" s="12"/>
      <c r="BO47" s="13" t="str">
        <f t="shared" si="96"/>
        <v>Legacy Exotic 8x12 Tom Tom</v>
      </c>
      <c r="BP47" s="12" t="s">
        <v>63</v>
      </c>
      <c r="BQ47" s="94"/>
      <c r="BR47" s="40" t="s">
        <v>671</v>
      </c>
      <c r="BS47" s="12" t="s">
        <v>63</v>
      </c>
      <c r="BT47" s="238"/>
      <c r="BU47" s="239" t="s">
        <v>63</v>
      </c>
      <c r="BV47" s="240" t="s">
        <v>671</v>
      </c>
      <c r="BW47" s="241">
        <f t="shared" si="86"/>
        <v>725</v>
      </c>
      <c r="BX47" s="241">
        <f t="shared" si="86"/>
        <v>1330</v>
      </c>
      <c r="BY47" s="241">
        <f t="shared" si="86"/>
        <v>1330</v>
      </c>
      <c r="BZ47" s="241">
        <f t="shared" si="86"/>
        <v>1475</v>
      </c>
      <c r="CA47" s="241">
        <f t="shared" si="86"/>
        <v>681</v>
      </c>
      <c r="CB47" s="241"/>
      <c r="CC47" s="243" t="s">
        <v>1047</v>
      </c>
      <c r="CD47" s="313">
        <v>40</v>
      </c>
      <c r="CE47" s="242"/>
      <c r="CF47" s="239" t="str">
        <f t="shared" si="87"/>
        <v>8x12 Tom Tom</v>
      </c>
      <c r="CG47" s="130" t="s">
        <v>154</v>
      </c>
      <c r="CH47" s="130" t="s">
        <v>211</v>
      </c>
      <c r="CI47" s="130" t="s">
        <v>269</v>
      </c>
      <c r="CJ47" s="130" t="s">
        <v>327</v>
      </c>
      <c r="CK47" s="130" t="s">
        <v>795</v>
      </c>
      <c r="CL47" s="94"/>
      <c r="CM47" s="288" t="s">
        <v>20</v>
      </c>
      <c r="CN47" s="27" t="str">
        <f t="shared" si="3"/>
        <v>Tom.14x15 Tom Tom</v>
      </c>
      <c r="CO47" s="12" t="s">
        <v>78</v>
      </c>
      <c r="CP47" s="93" t="str">
        <f t="shared" si="79"/>
        <v>MLLCLL</v>
      </c>
      <c r="CQ47" s="285" t="s">
        <v>831</v>
      </c>
      <c r="CR47" s="285" t="s">
        <v>829</v>
      </c>
      <c r="CS47" s="285" t="s">
        <v>731</v>
      </c>
      <c r="CT47" s="285"/>
      <c r="CU47" s="285"/>
      <c r="CV47" s="285"/>
      <c r="CW47" s="285"/>
      <c r="CX47" s="285"/>
      <c r="CY47" s="114" t="s">
        <v>569</v>
      </c>
      <c r="DC47" s="50"/>
      <c r="DD47" s="77"/>
      <c r="DE47" s="78" t="s">
        <v>87</v>
      </c>
      <c r="DF47" s="43" t="s">
        <v>853</v>
      </c>
      <c r="DG47" s="9"/>
      <c r="DH47" s="29"/>
      <c r="DI47" s="9"/>
      <c r="DM47" s="24"/>
      <c r="DN47" s="27"/>
      <c r="DO47" s="45"/>
      <c r="DP47" s="45"/>
      <c r="DQ47" s="41"/>
      <c r="DR47" s="41"/>
      <c r="DS47" s="41"/>
      <c r="DU47" s="41"/>
      <c r="ED47" s="41"/>
      <c r="EE47" s="41"/>
      <c r="EF47" s="45"/>
      <c r="EI47" s="46"/>
      <c r="EJ47" t="s">
        <v>834</v>
      </c>
      <c r="EK47" s="331" t="s">
        <v>855</v>
      </c>
      <c r="EL47" s="64" t="s">
        <v>851</v>
      </c>
      <c r="EM47" s="14" t="str">
        <f t="shared" si="83"/>
        <v>Large Imperial.Small.Double</v>
      </c>
      <c r="EN47" s="340"/>
      <c r="EO47" s="64"/>
      <c r="EP47" s="64"/>
      <c r="EQ47" s="19" t="s">
        <v>493</v>
      </c>
      <c r="ER47" s="171" t="s">
        <v>491</v>
      </c>
      <c r="ES47" s="127" t="s">
        <v>1250</v>
      </c>
      <c r="ET47" s="342" t="s">
        <v>493</v>
      </c>
      <c r="EU47" t="str">
        <f t="shared" si="89"/>
        <v>Spurs_Spurs_FN</v>
      </c>
      <c r="EV47" s="105">
        <v>47</v>
      </c>
      <c r="EW47" s="64">
        <f t="shared" si="70"/>
        <v>0</v>
      </c>
      <c r="EX47" s="14">
        <f t="shared" si="80"/>
        <v>0</v>
      </c>
      <c r="EY47" s="304"/>
      <c r="EZ47" s="14" t="str">
        <f t="shared" si="97"/>
        <v>Batter Head</v>
      </c>
      <c r="FA47" t="str">
        <f t="shared" si="81"/>
        <v>Heavy Coated</v>
      </c>
      <c r="FB47" t="str">
        <f t="shared" si="93"/>
        <v>Change to</v>
      </c>
      <c r="FC47">
        <f t="shared" si="93"/>
        <v>0</v>
      </c>
      <c r="FE47" s="24">
        <f>IF(COUNTIF(Mounts,"*"&amp;FF47&amp;"*")&gt;0=TRUE,1,0)</f>
        <v>0</v>
      </c>
      <c r="FF47" s="29" t="s">
        <v>1222</v>
      </c>
      <c r="FG47" s="90"/>
      <c r="FI47" s="24">
        <v>12</v>
      </c>
      <c r="FJ47" s="113" t="s">
        <v>397</v>
      </c>
    </row>
    <row r="48" spans="1:201" x14ac:dyDescent="0.25">
      <c r="A48" s="48"/>
      <c r="B48" s="48"/>
      <c r="C48" s="73"/>
      <c r="D48" s="72" t="s">
        <v>524</v>
      </c>
      <c r="E48" s="298" t="s">
        <v>543</v>
      </c>
      <c r="F48" s="298" t="s">
        <v>526</v>
      </c>
      <c r="G48" s="107"/>
      <c r="H48" s="364"/>
      <c r="I48" s="178"/>
      <c r="J48" s="216"/>
      <c r="K48" s="178"/>
      <c r="M48" s="41"/>
      <c r="N48" s="302"/>
      <c r="O48" s="357" t="str">
        <f t="shared" si="90"/>
        <v>LS L8 1200102</v>
      </c>
      <c r="P48" s="311">
        <f t="shared" si="91"/>
        <v>712</v>
      </c>
      <c r="Q48" s="311">
        <f t="shared" si="92"/>
        <v>712</v>
      </c>
      <c r="R48" s="48"/>
      <c r="T48" s="283" t="s">
        <v>1147</v>
      </c>
      <c r="AD48" s="69" t="s">
        <v>581</v>
      </c>
      <c r="AG48" s="144" t="s">
        <v>469</v>
      </c>
      <c r="AH48" s="146" t="s">
        <v>115</v>
      </c>
      <c r="AI48" s="45" t="s">
        <v>424</v>
      </c>
      <c r="AJ48" s="147" t="s">
        <v>615</v>
      </c>
      <c r="AK48" s="148" t="s">
        <v>455</v>
      </c>
      <c r="AL48" s="28"/>
      <c r="AM48" s="28"/>
      <c r="AN48" s="28"/>
      <c r="AO48" s="28"/>
      <c r="AP48" s="28"/>
      <c r="AQ48" s="28"/>
      <c r="AR48" s="28"/>
      <c r="AS48" s="28"/>
      <c r="AT48" s="1" t="s">
        <v>480</v>
      </c>
      <c r="AX48" s="26"/>
      <c r="AY48" s="22"/>
      <c r="AZ48" s="22"/>
      <c r="BA48" s="12" t="s">
        <v>64</v>
      </c>
      <c r="BB48" s="12"/>
      <c r="BC48" s="13" t="str">
        <f t="shared" si="85"/>
        <v>Classic Maple 9x12 Tom Tom</v>
      </c>
      <c r="BD48" s="12" t="s">
        <v>64</v>
      </c>
      <c r="BE48" s="100"/>
      <c r="BG48" s="13" t="str">
        <f t="shared" si="94"/>
        <v>Legacy Maple 9x12 Tom Tom</v>
      </c>
      <c r="BH48" s="12" t="s">
        <v>64</v>
      </c>
      <c r="BI48" s="98"/>
      <c r="BJ48" s="12"/>
      <c r="BK48" s="13" t="str">
        <f t="shared" si="95"/>
        <v>Legacy Mahogany 9x12 Tom Tom</v>
      </c>
      <c r="BL48" s="12" t="s">
        <v>64</v>
      </c>
      <c r="BM48" s="98"/>
      <c r="BN48" s="12"/>
      <c r="BO48" s="13" t="str">
        <f t="shared" si="96"/>
        <v>Legacy Exotic 9x12 Tom Tom</v>
      </c>
      <c r="BP48" s="12" t="s">
        <v>64</v>
      </c>
      <c r="BQ48" s="94"/>
      <c r="BR48" s="40" t="s">
        <v>672</v>
      </c>
      <c r="BS48" s="12" t="s">
        <v>64</v>
      </c>
      <c r="BT48" s="238"/>
      <c r="BU48" s="239" t="s">
        <v>64</v>
      </c>
      <c r="BV48" s="240" t="s">
        <v>672</v>
      </c>
      <c r="BW48" s="241">
        <f t="shared" si="86"/>
        <v>725</v>
      </c>
      <c r="BX48" s="241">
        <f t="shared" si="86"/>
        <v>1330</v>
      </c>
      <c r="BY48" s="241">
        <f t="shared" si="86"/>
        <v>1330</v>
      </c>
      <c r="BZ48" s="241">
        <f t="shared" si="86"/>
        <v>1475</v>
      </c>
      <c r="CA48" s="241">
        <f t="shared" si="86"/>
        <v>681</v>
      </c>
      <c r="CB48" s="241"/>
      <c r="CC48" s="243" t="s">
        <v>1048</v>
      </c>
      <c r="CD48" s="313">
        <v>40</v>
      </c>
      <c r="CE48" s="242"/>
      <c r="CF48" s="239" t="str">
        <f t="shared" si="87"/>
        <v>9x12 Tom Tom</v>
      </c>
      <c r="CG48" s="130" t="s">
        <v>155</v>
      </c>
      <c r="CH48" s="130" t="s">
        <v>212</v>
      </c>
      <c r="CI48" s="130" t="s">
        <v>270</v>
      </c>
      <c r="CJ48" s="130" t="s">
        <v>328</v>
      </c>
      <c r="CK48" s="130" t="s">
        <v>796</v>
      </c>
      <c r="CL48" s="94"/>
      <c r="CM48" s="288" t="s">
        <v>20</v>
      </c>
      <c r="CN48" s="27" t="str">
        <f t="shared" si="3"/>
        <v>Tom.14x16 Tom Tom</v>
      </c>
      <c r="CO48" s="12" t="s">
        <v>79</v>
      </c>
      <c r="CP48" s="93" t="str">
        <f t="shared" si="79"/>
        <v>MLLCLL</v>
      </c>
      <c r="CQ48" s="285" t="s">
        <v>831</v>
      </c>
      <c r="CR48" s="285" t="s">
        <v>829</v>
      </c>
      <c r="CS48" s="285" t="s">
        <v>731</v>
      </c>
      <c r="CT48" s="285"/>
      <c r="CU48" s="285"/>
      <c r="CV48" s="285"/>
      <c r="CW48" s="285"/>
      <c r="CX48" s="285"/>
      <c r="CY48" s="114" t="s">
        <v>570</v>
      </c>
      <c r="DC48" s="50"/>
      <c r="DD48" s="77"/>
      <c r="DE48" s="78" t="s">
        <v>88</v>
      </c>
      <c r="DF48" s="43" t="s">
        <v>853</v>
      </c>
      <c r="DG48" s="9"/>
      <c r="DH48" s="29"/>
      <c r="DI48" s="9"/>
      <c r="DM48" s="24"/>
      <c r="DN48" s="27"/>
      <c r="DO48" s="45"/>
      <c r="DP48" s="45"/>
      <c r="DQ48" s="41"/>
      <c r="DR48" s="41"/>
      <c r="DS48" s="41"/>
      <c r="DU48" s="41"/>
      <c r="ED48" s="41"/>
      <c r="EE48" s="41"/>
      <c r="EF48" s="45"/>
      <c r="EI48" s="46"/>
      <c r="EJ48" s="8" t="s">
        <v>357</v>
      </c>
      <c r="EK48" s="331" t="s">
        <v>856</v>
      </c>
      <c r="EL48" s="64" t="s">
        <v>861</v>
      </c>
      <c r="EM48" s="14" t="str">
        <f t="shared" si="83"/>
        <v>Mini Classic.Big.Single</v>
      </c>
      <c r="EN48" s="172"/>
      <c r="EO48" s="19" t="s">
        <v>486</v>
      </c>
      <c r="EP48" s="19" t="s">
        <v>1255</v>
      </c>
      <c r="EQ48" s="19" t="s">
        <v>493</v>
      </c>
      <c r="ER48" s="171" t="s">
        <v>491</v>
      </c>
      <c r="ES48" s="127" t="s">
        <v>1249</v>
      </c>
      <c r="ET48" s="342" t="s">
        <v>486</v>
      </c>
      <c r="EU48" t="str">
        <f t="shared" si="89"/>
        <v>Spurs_Spurs_ECFN</v>
      </c>
      <c r="EV48" s="105">
        <v>48</v>
      </c>
      <c r="EW48" s="64">
        <f t="shared" si="70"/>
        <v>0</v>
      </c>
      <c r="EX48" s="14">
        <f t="shared" si="80"/>
        <v>0</v>
      </c>
      <c r="EY48" s="304"/>
      <c r="EZ48" s="14" t="str">
        <f t="shared" si="97"/>
        <v>Bottom Head</v>
      </c>
      <c r="FA48" t="str">
        <f t="shared" si="81"/>
        <v>C11 Thin</v>
      </c>
      <c r="FB48" t="str">
        <f t="shared" si="93"/>
        <v>No Option</v>
      </c>
      <c r="FC48">
        <f t="shared" si="93"/>
        <v>0</v>
      </c>
      <c r="FE48" s="24">
        <f>IF(COUNTIF(Mounts,"*"&amp;FF48&amp;"*")&gt;0=TRUE,1,0)</f>
        <v>0</v>
      </c>
      <c r="FF48" s="29" t="s">
        <v>1223</v>
      </c>
      <c r="FG48" s="90"/>
      <c r="FI48" s="24">
        <v>12</v>
      </c>
      <c r="FJ48" s="113" t="s">
        <v>394</v>
      </c>
    </row>
    <row r="49" spans="1:166" x14ac:dyDescent="0.25">
      <c r="A49" s="48"/>
      <c r="B49" s="280"/>
      <c r="C49" s="73"/>
      <c r="D49" s="138" t="s">
        <v>852</v>
      </c>
      <c r="E49" s="298" t="str">
        <f>IFERROR(INDEX(EC5:EE9,MATCH(C2,EC5:EC9,0),3),"")</f>
        <v>Single 45</v>
      </c>
      <c r="F49" s="298" t="str">
        <f>IF($C$2&lt;&gt;"Classic Maple","No Option","Change to")</f>
        <v>Change to</v>
      </c>
      <c r="G49" s="164"/>
      <c r="H49" s="360" t="str">
        <f>IF(G49="","",(INDEX($CC$192:$CD$198,MATCH(CONCATENATE($C$2," ",G49),$CC$192:$CC$198,0),2))*Q49/P49)</f>
        <v/>
      </c>
      <c r="I49" s="183" t="str">
        <f ca="1">IF($G$49="","",IF(ISERROR(MATCH($G$49,INDIRECT(B29),0))=FALSE,"","Invalid Selection"))</f>
        <v/>
      </c>
      <c r="J49" s="216"/>
      <c r="K49" s="178"/>
      <c r="M49" s="41"/>
      <c r="N49" s="302"/>
      <c r="O49" s="357" t="str">
        <f t="shared" si="90"/>
        <v>LS L8 1200102</v>
      </c>
      <c r="P49" s="311">
        <f t="shared" si="91"/>
        <v>712</v>
      </c>
      <c r="Q49" s="311">
        <f t="shared" si="92"/>
        <v>712</v>
      </c>
      <c r="R49" s="48"/>
      <c r="T49" s="283" t="s">
        <v>1103</v>
      </c>
      <c r="AG49" s="144" t="s">
        <v>470</v>
      </c>
      <c r="AH49" s="146" t="s">
        <v>115</v>
      </c>
      <c r="AI49" s="45" t="s">
        <v>424</v>
      </c>
      <c r="AJ49" s="147" t="s">
        <v>615</v>
      </c>
      <c r="AK49" s="148" t="s">
        <v>455</v>
      </c>
      <c r="AL49" s="28"/>
      <c r="AM49" s="28"/>
      <c r="AN49" s="28"/>
      <c r="AO49" s="28"/>
      <c r="AP49" s="28"/>
      <c r="AQ49" s="28"/>
      <c r="AR49" s="28"/>
      <c r="AS49" s="28"/>
      <c r="AT49" s="204" t="s">
        <v>450</v>
      </c>
      <c r="AX49" s="26"/>
      <c r="AY49" s="22"/>
      <c r="AZ49" s="22"/>
      <c r="BA49" s="12" t="s">
        <v>65</v>
      </c>
      <c r="BB49" s="12"/>
      <c r="BC49" s="13" t="str">
        <f t="shared" si="85"/>
        <v>Classic Maple 10x12 Tom Tom</v>
      </c>
      <c r="BD49" s="12" t="s">
        <v>65</v>
      </c>
      <c r="BE49" s="100"/>
      <c r="BG49" s="13" t="str">
        <f t="shared" si="94"/>
        <v>Legacy Maple 10x12 Tom Tom</v>
      </c>
      <c r="BH49" s="12" t="s">
        <v>65</v>
      </c>
      <c r="BI49" s="98"/>
      <c r="BJ49" s="12"/>
      <c r="BK49" s="13" t="str">
        <f t="shared" si="95"/>
        <v>Legacy Mahogany 10x12 Tom Tom</v>
      </c>
      <c r="BL49" s="12" t="s">
        <v>65</v>
      </c>
      <c r="BM49" s="98"/>
      <c r="BN49" s="12"/>
      <c r="BO49" s="13" t="str">
        <f t="shared" si="96"/>
        <v>Legacy Exotic 10x12 Tom Tom</v>
      </c>
      <c r="BP49" s="12" t="s">
        <v>65</v>
      </c>
      <c r="BQ49" s="94"/>
      <c r="BR49" s="40" t="s">
        <v>713</v>
      </c>
      <c r="BS49" s="12" t="s">
        <v>65</v>
      </c>
      <c r="BT49" s="238"/>
      <c r="BU49" s="239" t="s">
        <v>65</v>
      </c>
      <c r="BV49" s="240" t="s">
        <v>713</v>
      </c>
      <c r="BW49" s="241">
        <f t="shared" ref="BW49:CA58" si="98">INDEX($BV:$CA,MATCH(CONCATENATE("D",".",BW$2,".",$BV49,".",$BV$1),$BV:$BV,0),MATCH("Result",$BV$85:$CA$85,0))</f>
        <v>725</v>
      </c>
      <c r="BX49" s="241">
        <f t="shared" si="98"/>
        <v>1330</v>
      </c>
      <c r="BY49" s="241">
        <f t="shared" si="98"/>
        <v>1330</v>
      </c>
      <c r="BZ49" s="241">
        <f t="shared" si="98"/>
        <v>1475</v>
      </c>
      <c r="CA49" s="241">
        <f t="shared" si="98"/>
        <v>681</v>
      </c>
      <c r="CB49" s="241"/>
      <c r="CC49" s="243" t="s">
        <v>1049</v>
      </c>
      <c r="CD49" s="313">
        <v>30</v>
      </c>
      <c r="CE49" s="242"/>
      <c r="CF49" s="239" t="str">
        <f t="shared" si="87"/>
        <v>10x12 Tom Tom</v>
      </c>
      <c r="CG49" s="130" t="s">
        <v>156</v>
      </c>
      <c r="CH49" s="130" t="s">
        <v>213</v>
      </c>
      <c r="CI49" s="130" t="s">
        <v>271</v>
      </c>
      <c r="CJ49" s="130" t="s">
        <v>329</v>
      </c>
      <c r="CK49" s="130" t="s">
        <v>797</v>
      </c>
      <c r="CL49" s="94"/>
      <c r="CM49" s="288" t="s">
        <v>20</v>
      </c>
      <c r="CN49" s="27" t="str">
        <f t="shared" si="3"/>
        <v>Tom.15x16 Tom Tom</v>
      </c>
      <c r="CO49" s="12" t="s">
        <v>82</v>
      </c>
      <c r="CP49" s="93" t="str">
        <f t="shared" si="79"/>
        <v>MLLCLL</v>
      </c>
      <c r="CQ49" s="285" t="s">
        <v>831</v>
      </c>
      <c r="CR49" s="285" t="s">
        <v>829</v>
      </c>
      <c r="CS49" s="285" t="s">
        <v>731</v>
      </c>
      <c r="CT49" s="285"/>
      <c r="CU49" s="285"/>
      <c r="CV49" s="285"/>
      <c r="CW49" s="285"/>
      <c r="CX49" s="285"/>
      <c r="CY49" s="114" t="s">
        <v>570</v>
      </c>
      <c r="DC49" s="50"/>
      <c r="DD49" s="77"/>
      <c r="DE49" s="78" t="s">
        <v>89</v>
      </c>
      <c r="DF49" s="43" t="s">
        <v>853</v>
      </c>
      <c r="DG49" s="9"/>
      <c r="DH49" s="29"/>
      <c r="DI49" s="9"/>
      <c r="DM49" s="24"/>
      <c r="DN49" s="27"/>
      <c r="DO49" s="45"/>
      <c r="DP49" s="45"/>
      <c r="DQ49" s="41"/>
      <c r="DR49" s="41"/>
      <c r="DS49" s="41"/>
      <c r="DU49" s="41"/>
      <c r="ED49" s="41"/>
      <c r="EE49" s="41"/>
      <c r="EF49" s="45"/>
      <c r="EI49" s="46"/>
      <c r="EJ49" t="s">
        <v>356</v>
      </c>
      <c r="EK49" s="331" t="s">
        <v>856</v>
      </c>
      <c r="EL49" s="64" t="s">
        <v>861</v>
      </c>
      <c r="EM49" s="14" t="str">
        <f t="shared" si="83"/>
        <v>Large Classic.Big.Single</v>
      </c>
      <c r="EN49" s="172"/>
      <c r="EO49" s="19" t="s">
        <v>486</v>
      </c>
      <c r="EP49" s="19" t="s">
        <v>1255</v>
      </c>
      <c r="EQ49" s="19" t="s">
        <v>493</v>
      </c>
      <c r="ER49" s="171" t="s">
        <v>491</v>
      </c>
      <c r="ES49" s="127" t="s">
        <v>1249</v>
      </c>
      <c r="ET49" s="342" t="s">
        <v>486</v>
      </c>
      <c r="EU49" t="str">
        <f t="shared" si="89"/>
        <v>Spurs_Spurs_ECFN</v>
      </c>
      <c r="EV49" s="105">
        <v>49</v>
      </c>
      <c r="EW49" s="64">
        <f t="shared" si="70"/>
        <v>0</v>
      </c>
      <c r="EX49" s="14">
        <f t="shared" si="80"/>
        <v>0</v>
      </c>
      <c r="EY49" s="304"/>
      <c r="EZ49" s="14" t="str">
        <f t="shared" si="97"/>
        <v>Bearing Edge</v>
      </c>
      <c r="FA49" t="str">
        <f t="shared" si="81"/>
        <v>Single 45</v>
      </c>
      <c r="FB49" t="str">
        <f t="shared" si="93"/>
        <v>Change to</v>
      </c>
      <c r="FC49">
        <f t="shared" si="93"/>
        <v>0</v>
      </c>
      <c r="FJ49" s="24"/>
    </row>
    <row r="50" spans="1:166" ht="15.75" thickBot="1" x14ac:dyDescent="0.3">
      <c r="B50" s="280" t="s">
        <v>1285</v>
      </c>
      <c r="C50" s="74"/>
      <c r="D50" s="149" t="s">
        <v>1220</v>
      </c>
      <c r="E50" s="324" t="s">
        <v>1234</v>
      </c>
      <c r="F50" s="324" t="str">
        <f>IF(FS21= "Yes","Change to","No Option")</f>
        <v>No Option</v>
      </c>
      <c r="G50" s="352"/>
      <c r="H50" s="363" t="str">
        <f>IF(G50="","",0*Q50/P50)</f>
        <v/>
      </c>
      <c r="I50" s="183" t="str">
        <f ca="1">IF($G$50="","",IF(ISERROR(MATCH($G$50,INDIRECT(FS28),0))=FALSE,"","Invalid Selection"))</f>
        <v/>
      </c>
      <c r="M50" s="41"/>
      <c r="O50" s="357" t="str">
        <f t="shared" si="90"/>
        <v>LS L8 1200102</v>
      </c>
      <c r="P50" s="311">
        <f t="shared" si="91"/>
        <v>712</v>
      </c>
      <c r="Q50" s="311">
        <f t="shared" si="92"/>
        <v>712</v>
      </c>
      <c r="T50" s="283" t="s">
        <v>1266</v>
      </c>
      <c r="Z50" s="79" t="s">
        <v>1092</v>
      </c>
      <c r="AB50" s="24"/>
      <c r="AC50" s="24"/>
      <c r="AD50" s="24"/>
      <c r="AG50" s="144" t="s">
        <v>471</v>
      </c>
      <c r="AH50" s="146" t="s">
        <v>115</v>
      </c>
      <c r="AI50" s="45" t="s">
        <v>424</v>
      </c>
      <c r="AJ50" s="147" t="s">
        <v>615</v>
      </c>
      <c r="AK50" s="148" t="s">
        <v>455</v>
      </c>
      <c r="AL50" s="28"/>
      <c r="AM50" s="28"/>
      <c r="AN50" s="28"/>
      <c r="AO50" s="28"/>
      <c r="AP50" s="28"/>
      <c r="AQ50" s="28"/>
      <c r="AR50" s="28"/>
      <c r="AS50" s="28"/>
      <c r="AT50" s="204" t="s">
        <v>451</v>
      </c>
      <c r="AX50" s="26"/>
      <c r="AY50" s="22"/>
      <c r="AZ50" s="22"/>
      <c r="BA50" s="12" t="s">
        <v>66</v>
      </c>
      <c r="BB50" s="12"/>
      <c r="BC50" s="13" t="str">
        <f t="shared" si="85"/>
        <v>Classic Maple 11x12 Tom Tom</v>
      </c>
      <c r="BD50" s="12" t="s">
        <v>66</v>
      </c>
      <c r="BE50" s="100"/>
      <c r="BG50" s="13" t="str">
        <f t="shared" si="94"/>
        <v>Legacy Maple 11x12 Tom Tom</v>
      </c>
      <c r="BH50" s="12" t="s">
        <v>66</v>
      </c>
      <c r="BI50" s="98"/>
      <c r="BJ50" s="12"/>
      <c r="BK50" s="13" t="str">
        <f t="shared" si="95"/>
        <v>Legacy Mahogany 11x12 Tom Tom</v>
      </c>
      <c r="BL50" s="12" t="s">
        <v>66</v>
      </c>
      <c r="BM50" s="98"/>
      <c r="BN50" s="12"/>
      <c r="BO50" s="13" t="str">
        <f t="shared" si="96"/>
        <v>Legacy Exotic 11x12 Tom Tom</v>
      </c>
      <c r="BP50" s="12" t="s">
        <v>66</v>
      </c>
      <c r="BQ50" s="94"/>
      <c r="BR50" s="40" t="s">
        <v>714</v>
      </c>
      <c r="BS50" s="12" t="s">
        <v>66</v>
      </c>
      <c r="BT50" s="238"/>
      <c r="BU50" s="239" t="s">
        <v>66</v>
      </c>
      <c r="BV50" s="240" t="s">
        <v>714</v>
      </c>
      <c r="BW50" s="241">
        <f t="shared" si="98"/>
        <v>725</v>
      </c>
      <c r="BX50" s="241">
        <f t="shared" si="98"/>
        <v>1330</v>
      </c>
      <c r="BY50" s="241">
        <f t="shared" si="98"/>
        <v>1330</v>
      </c>
      <c r="BZ50" s="241">
        <f t="shared" si="98"/>
        <v>1475</v>
      </c>
      <c r="CA50" s="241">
        <f t="shared" si="98"/>
        <v>681</v>
      </c>
      <c r="CB50" s="241"/>
      <c r="CC50" s="243" t="s">
        <v>1050</v>
      </c>
      <c r="CD50" s="313">
        <v>60</v>
      </c>
      <c r="CE50" s="242"/>
      <c r="CF50" s="239" t="str">
        <f t="shared" si="87"/>
        <v>11x12 Tom Tom</v>
      </c>
      <c r="CG50" s="130" t="s">
        <v>157</v>
      </c>
      <c r="CH50" s="130" t="s">
        <v>214</v>
      </c>
      <c r="CI50" s="130" t="s">
        <v>272</v>
      </c>
      <c r="CJ50" s="130" t="s">
        <v>330</v>
      </c>
      <c r="CK50" s="130" t="s">
        <v>798</v>
      </c>
      <c r="CL50" s="94"/>
      <c r="CM50" s="288" t="s">
        <v>20</v>
      </c>
      <c r="CN50" s="27" t="str">
        <f t="shared" si="3"/>
        <v>Tom.16x16 Tom Tom</v>
      </c>
      <c r="CO50" s="12" t="s">
        <v>80</v>
      </c>
      <c r="CP50" s="93" t="str">
        <f t="shared" si="79"/>
        <v>MLLCLL</v>
      </c>
      <c r="CQ50" s="285" t="s">
        <v>831</v>
      </c>
      <c r="CR50" s="285" t="s">
        <v>829</v>
      </c>
      <c r="CS50" s="285" t="s">
        <v>731</v>
      </c>
      <c r="CT50" s="285"/>
      <c r="CU50" s="285"/>
      <c r="CV50" s="285"/>
      <c r="CW50" s="285"/>
      <c r="CX50" s="285"/>
      <c r="CY50" s="114" t="s">
        <v>570</v>
      </c>
      <c r="DD50" s="77"/>
      <c r="DE50" s="78" t="s">
        <v>1207</v>
      </c>
      <c r="DF50" s="43" t="s">
        <v>853</v>
      </c>
      <c r="DM50" s="24"/>
      <c r="DN50" s="27"/>
      <c r="DO50" s="45"/>
      <c r="DP50" s="45"/>
      <c r="DQ50" s="41"/>
      <c r="DR50" s="41"/>
      <c r="DS50" s="41"/>
      <c r="DU50" s="41"/>
      <c r="ED50" s="41"/>
      <c r="EE50" s="41"/>
      <c r="EF50" s="45"/>
      <c r="EI50" s="46"/>
      <c r="EJ50" s="107" t="s">
        <v>1139</v>
      </c>
      <c r="EK50" s="331" t="s">
        <v>856</v>
      </c>
      <c r="EL50" s="64" t="s">
        <v>861</v>
      </c>
      <c r="EM50" s="14" t="str">
        <f t="shared" si="83"/>
        <v>Mach Lugs.Big.Single</v>
      </c>
      <c r="EN50" s="172"/>
      <c r="EO50" s="19" t="s">
        <v>486</v>
      </c>
      <c r="EP50" s="19" t="s">
        <v>1255</v>
      </c>
      <c r="EQ50" s="19" t="s">
        <v>493</v>
      </c>
      <c r="ER50" s="171" t="s">
        <v>491</v>
      </c>
      <c r="ES50" s="127" t="s">
        <v>1249</v>
      </c>
      <c r="ET50" s="342" t="s">
        <v>486</v>
      </c>
      <c r="EU50" t="str">
        <f t="shared" si="89"/>
        <v>Spurs_Spurs_ECFN</v>
      </c>
      <c r="EV50" s="105">
        <v>50</v>
      </c>
      <c r="EY50" s="24"/>
      <c r="EZ50" s="24" t="str">
        <f t="shared" si="97"/>
        <v>Snare Bed</v>
      </c>
      <c r="FE50" s="24">
        <f>IF(COUNTIF(Mounts,"*"&amp;FF50&amp;"*")&gt;0=TRUE,1,0)</f>
        <v>0</v>
      </c>
      <c r="FF50" s="29" t="s">
        <v>1224</v>
      </c>
      <c r="FG50" s="90"/>
      <c r="FI50" s="24">
        <v>10</v>
      </c>
      <c r="FJ50" s="113" t="s">
        <v>389</v>
      </c>
    </row>
    <row r="51" spans="1:166" x14ac:dyDescent="0.25">
      <c r="B51" s="112"/>
      <c r="C51" s="188"/>
      <c r="D51" s="188"/>
      <c r="E51" s="188"/>
      <c r="F51" s="47"/>
      <c r="G51" s="188"/>
      <c r="H51" s="179"/>
      <c r="M51" s="41"/>
      <c r="T51" s="283" t="s">
        <v>1267</v>
      </c>
      <c r="Y51" s="24"/>
      <c r="Z51" t="s">
        <v>598</v>
      </c>
      <c r="AA51" s="14" t="s">
        <v>5</v>
      </c>
      <c r="AB51" s="14" t="s">
        <v>6</v>
      </c>
      <c r="AC51" s="14" t="s">
        <v>7</v>
      </c>
      <c r="AD51" s="14" t="s">
        <v>8</v>
      </c>
      <c r="AE51" s="14" t="s">
        <v>657</v>
      </c>
      <c r="AG51" s="144" t="s">
        <v>472</v>
      </c>
      <c r="AH51" s="146" t="s">
        <v>115</v>
      </c>
      <c r="AI51" s="45" t="s">
        <v>424</v>
      </c>
      <c r="AJ51" s="147" t="s">
        <v>618</v>
      </c>
      <c r="AK51" s="148" t="s">
        <v>455</v>
      </c>
      <c r="AL51" s="28"/>
      <c r="AM51" s="28"/>
      <c r="AN51" s="28"/>
      <c r="AO51" s="28"/>
      <c r="AP51" s="28"/>
      <c r="AQ51" s="28"/>
      <c r="AR51" s="28"/>
      <c r="AS51" s="28"/>
      <c r="AT51" s="1" t="s">
        <v>453</v>
      </c>
      <c r="AX51" s="26"/>
      <c r="AY51" s="22"/>
      <c r="AZ51" s="22"/>
      <c r="BA51" s="12" t="s">
        <v>67</v>
      </c>
      <c r="BB51" s="12"/>
      <c r="BC51" s="13" t="str">
        <f t="shared" si="85"/>
        <v>Classic Maple 9x13 Tom Tom</v>
      </c>
      <c r="BD51" s="12" t="s">
        <v>67</v>
      </c>
      <c r="BE51" s="100"/>
      <c r="BG51" s="13" t="str">
        <f t="shared" si="94"/>
        <v>Legacy Maple 9x13 Tom Tom</v>
      </c>
      <c r="BH51" s="12" t="s">
        <v>67</v>
      </c>
      <c r="BI51" s="98"/>
      <c r="BJ51" s="12"/>
      <c r="BK51" s="13" t="str">
        <f t="shared" si="95"/>
        <v>Legacy Mahogany 9x13 Tom Tom</v>
      </c>
      <c r="BL51" s="12" t="s">
        <v>67</v>
      </c>
      <c r="BM51" s="98"/>
      <c r="BN51" s="12"/>
      <c r="BO51" s="13" t="str">
        <f t="shared" si="96"/>
        <v>Legacy Exotic 9x13 Tom Tom</v>
      </c>
      <c r="BP51" s="12" t="s">
        <v>67</v>
      </c>
      <c r="BQ51" s="94"/>
      <c r="BR51" s="40" t="s">
        <v>673</v>
      </c>
      <c r="BS51" s="12" t="s">
        <v>67</v>
      </c>
      <c r="BT51" s="238"/>
      <c r="BU51" s="239" t="s">
        <v>67</v>
      </c>
      <c r="BV51" s="240" t="s">
        <v>673</v>
      </c>
      <c r="BW51" s="241">
        <f t="shared" si="98"/>
        <v>790</v>
      </c>
      <c r="BX51" s="241">
        <f t="shared" si="98"/>
        <v>1341</v>
      </c>
      <c r="BY51" s="241">
        <f t="shared" si="98"/>
        <v>1341</v>
      </c>
      <c r="BZ51" s="241">
        <f t="shared" si="98"/>
        <v>1486</v>
      </c>
      <c r="CA51" s="241">
        <f t="shared" si="98"/>
        <v>723</v>
      </c>
      <c r="CB51" s="241"/>
      <c r="CC51" s="248"/>
      <c r="CD51" s="241"/>
      <c r="CE51" s="241"/>
      <c r="CF51" s="239" t="str">
        <f t="shared" si="87"/>
        <v>9x13 Tom Tom</v>
      </c>
      <c r="CG51" s="130" t="s">
        <v>158</v>
      </c>
      <c r="CH51" s="130" t="s">
        <v>215</v>
      </c>
      <c r="CI51" s="130" t="s">
        <v>273</v>
      </c>
      <c r="CJ51" s="130" t="s">
        <v>331</v>
      </c>
      <c r="CK51" s="130" t="s">
        <v>799</v>
      </c>
      <c r="CL51" s="94"/>
      <c r="CM51" s="288" t="s">
        <v>20</v>
      </c>
      <c r="CN51" s="27" t="str">
        <f t="shared" si="3"/>
        <v xml:space="preserve">Tom.7.5x10 Tom Tom </v>
      </c>
      <c r="CO51" s="12" t="s">
        <v>60</v>
      </c>
      <c r="CP51" s="93" t="str">
        <f t="shared" si="79"/>
        <v>ML</v>
      </c>
      <c r="CQ51" s="64" t="s">
        <v>831</v>
      </c>
      <c r="CR51" s="285"/>
      <c r="CS51" s="285"/>
      <c r="CT51" s="285"/>
      <c r="CU51" s="285"/>
      <c r="CV51" s="285"/>
      <c r="CW51" s="285"/>
      <c r="CX51" s="285"/>
      <c r="CY51" s="114" t="s">
        <v>570</v>
      </c>
      <c r="DC51" s="50"/>
      <c r="DD51" s="77"/>
      <c r="DE51" s="78" t="s">
        <v>90</v>
      </c>
      <c r="DF51" s="43" t="s">
        <v>853</v>
      </c>
      <c r="DG51" s="9"/>
      <c r="DH51" s="29"/>
      <c r="DI51" s="9"/>
      <c r="DM51" s="24"/>
      <c r="DN51" s="27"/>
      <c r="DO51" s="45"/>
      <c r="DP51" s="45"/>
      <c r="DQ51" s="41"/>
      <c r="DR51" s="41"/>
      <c r="DS51" s="41"/>
      <c r="DU51" s="41"/>
      <c r="ED51" s="41"/>
      <c r="EE51" s="41"/>
      <c r="EF51" s="45"/>
      <c r="EI51" s="46"/>
      <c r="EJ51" t="s">
        <v>359</v>
      </c>
      <c r="EK51" s="331" t="s">
        <v>856</v>
      </c>
      <c r="EL51" s="64" t="s">
        <v>861</v>
      </c>
      <c r="EM51" s="14" t="str">
        <f t="shared" si="83"/>
        <v>Large Twin.Big.Single</v>
      </c>
      <c r="EN51" s="172"/>
      <c r="EO51" s="64"/>
      <c r="EP51" s="64"/>
      <c r="EQ51" s="19" t="s">
        <v>493</v>
      </c>
      <c r="ER51" s="171" t="s">
        <v>491</v>
      </c>
      <c r="ES51" s="127" t="s">
        <v>1250</v>
      </c>
      <c r="ET51" s="342" t="s">
        <v>493</v>
      </c>
      <c r="EU51" t="str">
        <f t="shared" si="89"/>
        <v>Spurs_Spurs_FN</v>
      </c>
      <c r="EV51" s="105">
        <v>51</v>
      </c>
      <c r="FE51" s="24">
        <f>IF(COUNTIF(Mounts,"*"&amp;FF51&amp;"*")&gt;0=TRUE,1,0)</f>
        <v>0</v>
      </c>
      <c r="FF51" s="29" t="s">
        <v>1225</v>
      </c>
      <c r="FG51" s="90"/>
      <c r="FI51" s="24">
        <v>10</v>
      </c>
      <c r="FJ51" s="113" t="s">
        <v>390</v>
      </c>
    </row>
    <row r="52" spans="1:166" x14ac:dyDescent="0.25">
      <c r="A52" s="22"/>
      <c r="B52" s="323"/>
      <c r="C52" s="183"/>
      <c r="D52" s="183"/>
      <c r="E52" s="183"/>
      <c r="F52" s="318"/>
      <c r="G52" s="319"/>
      <c r="H52" s="183"/>
      <c r="M52" s="41"/>
      <c r="T52" s="283" t="s">
        <v>1283</v>
      </c>
      <c r="Y52" s="24"/>
      <c r="Z52" s="24" t="s">
        <v>19</v>
      </c>
      <c r="AA52" t="s">
        <v>582</v>
      </c>
      <c r="AB52" t="s">
        <v>586</v>
      </c>
      <c r="AC52" t="s">
        <v>590</v>
      </c>
      <c r="AD52" t="s">
        <v>594</v>
      </c>
      <c r="AE52" t="s">
        <v>911</v>
      </c>
      <c r="AG52" s="144" t="s">
        <v>473</v>
      </c>
      <c r="AH52" s="146" t="s">
        <v>816</v>
      </c>
      <c r="AI52" s="45" t="s">
        <v>424</v>
      </c>
      <c r="AJ52" s="147" t="s">
        <v>611</v>
      </c>
      <c r="AK52" s="148" t="s">
        <v>455</v>
      </c>
      <c r="AL52" s="28"/>
      <c r="AM52" s="28"/>
      <c r="AN52" s="28"/>
      <c r="AO52" s="28"/>
      <c r="AP52" s="28"/>
      <c r="AQ52" s="28"/>
      <c r="AR52" s="28"/>
      <c r="AS52" s="28"/>
      <c r="AT52" s="1" t="s">
        <v>454</v>
      </c>
      <c r="AX52" s="26"/>
      <c r="AY52" s="22"/>
      <c r="AZ52" s="22"/>
      <c r="BA52" s="12" t="s">
        <v>68</v>
      </c>
      <c r="BB52" s="12"/>
      <c r="BC52" s="13" t="str">
        <f t="shared" si="85"/>
        <v>Classic Maple 10x13 Tom Tom</v>
      </c>
      <c r="BD52" s="12" t="s">
        <v>68</v>
      </c>
      <c r="BE52" s="100"/>
      <c r="BG52" s="13" t="str">
        <f t="shared" si="94"/>
        <v>Legacy Maple 10x13 Tom Tom</v>
      </c>
      <c r="BH52" s="12" t="s">
        <v>68</v>
      </c>
      <c r="BI52" s="98"/>
      <c r="BJ52" s="12"/>
      <c r="BK52" s="13" t="str">
        <f t="shared" si="95"/>
        <v>Legacy Mahogany 10x13 Tom Tom</v>
      </c>
      <c r="BL52" s="12" t="s">
        <v>68</v>
      </c>
      <c r="BM52" s="98"/>
      <c r="BN52" s="12"/>
      <c r="BO52" s="13" t="str">
        <f t="shared" si="96"/>
        <v>Legacy Exotic 10x13 Tom Tom</v>
      </c>
      <c r="BP52" s="12" t="s">
        <v>68</v>
      </c>
      <c r="BQ52" s="94"/>
      <c r="BR52" s="40" t="s">
        <v>715</v>
      </c>
      <c r="BS52" s="12" t="s">
        <v>68</v>
      </c>
      <c r="BT52" s="238"/>
      <c r="BU52" s="239" t="s">
        <v>68</v>
      </c>
      <c r="BV52" s="240" t="s">
        <v>715</v>
      </c>
      <c r="BW52" s="241">
        <f t="shared" si="98"/>
        <v>790</v>
      </c>
      <c r="BX52" s="241">
        <f t="shared" si="98"/>
        <v>1341</v>
      </c>
      <c r="BY52" s="241">
        <f t="shared" si="98"/>
        <v>1341</v>
      </c>
      <c r="BZ52" s="241">
        <f t="shared" si="98"/>
        <v>1486</v>
      </c>
      <c r="CA52" s="241">
        <f t="shared" si="98"/>
        <v>723</v>
      </c>
      <c r="CB52" s="241"/>
      <c r="CC52" s="248"/>
      <c r="CD52" s="241"/>
      <c r="CE52" s="241"/>
      <c r="CF52" s="239" t="str">
        <f t="shared" si="87"/>
        <v>10x13 Tom Tom</v>
      </c>
      <c r="CG52" s="130" t="s">
        <v>159</v>
      </c>
      <c r="CH52" s="130" t="s">
        <v>216</v>
      </c>
      <c r="CI52" s="130" t="s">
        <v>274</v>
      </c>
      <c r="CJ52" s="130" t="s">
        <v>332</v>
      </c>
      <c r="CK52" s="130" t="s">
        <v>800</v>
      </c>
      <c r="CL52" s="94"/>
      <c r="CM52" s="288" t="s">
        <v>20</v>
      </c>
      <c r="CN52" s="27" t="str">
        <f t="shared" si="3"/>
        <v>Tom.7x10 Tom Tom</v>
      </c>
      <c r="CO52" s="12" t="s">
        <v>59</v>
      </c>
      <c r="CP52" s="93" t="str">
        <f t="shared" si="79"/>
        <v>MLSIST</v>
      </c>
      <c r="CQ52" s="285" t="s">
        <v>831</v>
      </c>
      <c r="CR52" s="285"/>
      <c r="CS52" s="285"/>
      <c r="CT52" s="285"/>
      <c r="CU52" s="285"/>
      <c r="CV52" s="285" t="s">
        <v>833</v>
      </c>
      <c r="CW52" s="285" t="s">
        <v>1110</v>
      </c>
      <c r="CX52" s="285"/>
      <c r="CY52" s="114" t="s">
        <v>570</v>
      </c>
      <c r="DC52" s="50"/>
      <c r="DD52" s="77"/>
      <c r="DE52" s="78" t="s">
        <v>84</v>
      </c>
      <c r="DF52" s="12" t="s">
        <v>848</v>
      </c>
      <c r="DG52" s="9" t="s">
        <v>559</v>
      </c>
      <c r="DM52" s="24"/>
      <c r="DN52" s="27"/>
      <c r="DO52" s="45"/>
      <c r="DP52" s="45"/>
      <c r="DQ52" s="41"/>
      <c r="DR52" s="41"/>
      <c r="DS52" s="41"/>
      <c r="DU52" s="41"/>
      <c r="ED52" s="41"/>
      <c r="EE52" s="41"/>
      <c r="EF52" s="45"/>
      <c r="EI52" s="46"/>
      <c r="EJ52" t="s">
        <v>834</v>
      </c>
      <c r="EK52" s="331" t="s">
        <v>856</v>
      </c>
      <c r="EL52" s="64" t="s">
        <v>861</v>
      </c>
      <c r="EM52" s="14" t="str">
        <f t="shared" si="83"/>
        <v>Large Imperial.Big.Single</v>
      </c>
      <c r="EN52" s="340"/>
      <c r="EO52" s="64"/>
      <c r="EP52" s="64"/>
      <c r="EQ52" s="19" t="s">
        <v>493</v>
      </c>
      <c r="ER52" s="171" t="s">
        <v>491</v>
      </c>
      <c r="ES52" s="127" t="s">
        <v>1250</v>
      </c>
      <c r="ET52" s="342" t="s">
        <v>493</v>
      </c>
      <c r="EU52" t="str">
        <f t="shared" si="89"/>
        <v>Spurs_Spurs_FN</v>
      </c>
      <c r="EV52" s="105">
        <v>52</v>
      </c>
      <c r="FB52" s="25" t="s">
        <v>633</v>
      </c>
      <c r="FC52">
        <f>IF(SUM(FE46:FE48)&gt;0,1,0)</f>
        <v>0</v>
      </c>
      <c r="FJ52" s="24"/>
    </row>
    <row r="53" spans="1:166" x14ac:dyDescent="0.25">
      <c r="A53" s="22"/>
      <c r="B53" s="22"/>
      <c r="C53" s="183"/>
      <c r="D53" s="183"/>
      <c r="E53" s="183"/>
      <c r="F53" s="318"/>
      <c r="G53" s="320"/>
      <c r="H53" s="183"/>
      <c r="M53" s="108"/>
      <c r="T53" s="283" t="s">
        <v>1104</v>
      </c>
      <c r="Y53" s="24"/>
      <c r="Z53" s="24" t="s">
        <v>20</v>
      </c>
      <c r="AA53" t="s">
        <v>583</v>
      </c>
      <c r="AB53" t="s">
        <v>587</v>
      </c>
      <c r="AC53" t="s">
        <v>591</v>
      </c>
      <c r="AD53" t="s">
        <v>595</v>
      </c>
      <c r="AE53" t="s">
        <v>912</v>
      </c>
      <c r="AG53" s="144" t="s">
        <v>474</v>
      </c>
      <c r="AH53" s="146" t="s">
        <v>816</v>
      </c>
      <c r="AI53" s="45" t="s">
        <v>424</v>
      </c>
      <c r="AJ53" s="147" t="s">
        <v>611</v>
      </c>
      <c r="AK53" s="148" t="s">
        <v>455</v>
      </c>
      <c r="AL53" s="28"/>
      <c r="AM53" s="28"/>
      <c r="AN53" s="28"/>
      <c r="AO53" s="28"/>
      <c r="AP53" s="28"/>
      <c r="AQ53" s="28"/>
      <c r="AR53" s="28"/>
      <c r="AS53" s="28"/>
      <c r="AT53" s="1" t="s">
        <v>994</v>
      </c>
      <c r="AY53" s="22"/>
      <c r="AZ53" s="22"/>
      <c r="BA53" s="12" t="s">
        <v>69</v>
      </c>
      <c r="BB53" s="12"/>
      <c r="BC53" s="13" t="str">
        <f t="shared" si="85"/>
        <v>Classic Maple 11x13 Tom Tom</v>
      </c>
      <c r="BD53" s="12" t="s">
        <v>69</v>
      </c>
      <c r="BE53" s="100"/>
      <c r="BG53" s="13" t="str">
        <f t="shared" si="94"/>
        <v>Legacy Maple 11x13 Tom Tom</v>
      </c>
      <c r="BH53" s="12" t="s">
        <v>69</v>
      </c>
      <c r="BI53" s="98"/>
      <c r="BJ53" s="12"/>
      <c r="BK53" s="13" t="str">
        <f t="shared" si="95"/>
        <v>Legacy Mahogany 11x13 Tom Tom</v>
      </c>
      <c r="BL53" s="12" t="s">
        <v>69</v>
      </c>
      <c r="BM53" s="98"/>
      <c r="BN53" s="12"/>
      <c r="BO53" s="13" t="str">
        <f t="shared" si="96"/>
        <v>Legacy Exotic 11x13 Tom Tom</v>
      </c>
      <c r="BP53" s="12" t="s">
        <v>69</v>
      </c>
      <c r="BQ53" s="94"/>
      <c r="BR53" s="40" t="s">
        <v>716</v>
      </c>
      <c r="BS53" s="12" t="s">
        <v>69</v>
      </c>
      <c r="BT53" s="238"/>
      <c r="BU53" s="239" t="s">
        <v>69</v>
      </c>
      <c r="BV53" s="240" t="s">
        <v>716</v>
      </c>
      <c r="BW53" s="241">
        <f t="shared" si="98"/>
        <v>790</v>
      </c>
      <c r="BX53" s="241">
        <f t="shared" si="98"/>
        <v>1341</v>
      </c>
      <c r="BY53" s="241">
        <f t="shared" si="98"/>
        <v>1341</v>
      </c>
      <c r="BZ53" s="241">
        <f t="shared" si="98"/>
        <v>1486</v>
      </c>
      <c r="CA53" s="241">
        <f t="shared" si="98"/>
        <v>723</v>
      </c>
      <c r="CB53" s="241"/>
      <c r="CC53" s="249" t="s">
        <v>1052</v>
      </c>
      <c r="CD53" s="241"/>
      <c r="CE53" s="241"/>
      <c r="CF53" s="239" t="str">
        <f t="shared" si="87"/>
        <v>11x13 Tom Tom</v>
      </c>
      <c r="CG53" s="130" t="s">
        <v>160</v>
      </c>
      <c r="CH53" s="130" t="s">
        <v>217</v>
      </c>
      <c r="CI53" s="130" t="s">
        <v>275</v>
      </c>
      <c r="CJ53" s="130" t="s">
        <v>333</v>
      </c>
      <c r="CK53" s="130" t="s">
        <v>801</v>
      </c>
      <c r="CL53" s="94"/>
      <c r="CM53" s="288" t="s">
        <v>20</v>
      </c>
      <c r="CN53" s="27" t="str">
        <f t="shared" si="3"/>
        <v xml:space="preserve">Tom.7x6 Tom Tom </v>
      </c>
      <c r="CO53" s="12" t="s">
        <v>55</v>
      </c>
      <c r="CP53" s="93" t="str">
        <f t="shared" si="79"/>
        <v>ML</v>
      </c>
      <c r="CQ53" s="64" t="s">
        <v>831</v>
      </c>
      <c r="CR53" s="285"/>
      <c r="CS53" s="285"/>
      <c r="CT53" s="285"/>
      <c r="CU53" s="285"/>
      <c r="CV53" s="285"/>
      <c r="CW53" s="285"/>
      <c r="CX53" s="285"/>
      <c r="CY53" s="114" t="s">
        <v>569</v>
      </c>
      <c r="DC53" s="50"/>
      <c r="DD53" s="77"/>
      <c r="DE53" s="78" t="s">
        <v>744</v>
      </c>
      <c r="DF53" s="12" t="s">
        <v>848</v>
      </c>
      <c r="DG53" s="9"/>
      <c r="DM53" s="24"/>
      <c r="DN53" s="27"/>
      <c r="DO53" s="45"/>
      <c r="DP53" s="45"/>
      <c r="DQ53" s="41"/>
      <c r="DR53" s="41"/>
      <c r="DS53" s="41"/>
      <c r="DU53" s="41"/>
      <c r="ED53" s="41"/>
      <c r="EE53" s="41"/>
      <c r="EF53" s="45"/>
      <c r="EI53" s="46"/>
      <c r="EJ53" s="8" t="s">
        <v>357</v>
      </c>
      <c r="EK53" s="331" t="s">
        <v>855</v>
      </c>
      <c r="EL53" s="64" t="s">
        <v>861</v>
      </c>
      <c r="EM53" s="14" t="str">
        <f t="shared" si="83"/>
        <v>Mini Classic.Small.Single</v>
      </c>
      <c r="EN53" s="172"/>
      <c r="EO53" s="19" t="s">
        <v>486</v>
      </c>
      <c r="EP53" s="64"/>
      <c r="EQ53" s="19" t="s">
        <v>493</v>
      </c>
      <c r="ER53" s="171" t="s">
        <v>491</v>
      </c>
      <c r="ES53" s="127" t="s">
        <v>1252</v>
      </c>
      <c r="ET53" s="342" t="s">
        <v>486</v>
      </c>
      <c r="EU53" t="str">
        <f t="shared" si="89"/>
        <v>Spurs_Spurs_EFN</v>
      </c>
      <c r="EV53" s="105">
        <v>53</v>
      </c>
      <c r="FB53" s="25" t="s">
        <v>634</v>
      </c>
      <c r="FC53">
        <f>IF(SUM(FE50:FE51)&gt;0,1,0)</f>
        <v>0</v>
      </c>
      <c r="FE53" s="24">
        <f>IF(COUNTIF(Mounts,"*"&amp;FF53&amp;"*")&gt;0=TRUE,1,0)</f>
        <v>0</v>
      </c>
      <c r="FF53" s="29" t="s">
        <v>1226</v>
      </c>
      <c r="FG53" s="90"/>
      <c r="FI53" s="24">
        <v>9</v>
      </c>
      <c r="FJ53" s="113" t="s">
        <v>392</v>
      </c>
    </row>
    <row r="54" spans="1:166" x14ac:dyDescent="0.25">
      <c r="A54" s="22"/>
      <c r="B54" s="22"/>
      <c r="C54" s="183"/>
      <c r="D54" s="183"/>
      <c r="E54" s="183"/>
      <c r="F54" s="318"/>
      <c r="G54" s="320"/>
      <c r="H54" s="183"/>
      <c r="M54" s="108"/>
      <c r="T54" s="283" t="s">
        <v>1268</v>
      </c>
      <c r="V54" s="6"/>
      <c r="Y54" s="24"/>
      <c r="Z54" s="24" t="s">
        <v>21</v>
      </c>
      <c r="AA54" t="s">
        <v>584</v>
      </c>
      <c r="AB54" t="s">
        <v>588</v>
      </c>
      <c r="AC54" t="s">
        <v>592</v>
      </c>
      <c r="AD54" t="s">
        <v>596</v>
      </c>
      <c r="AE54" t="s">
        <v>913</v>
      </c>
      <c r="AG54" s="144" t="s">
        <v>985</v>
      </c>
      <c r="AH54" s="146" t="s">
        <v>816</v>
      </c>
      <c r="AI54" s="45" t="s">
        <v>424</v>
      </c>
      <c r="AJ54" s="147" t="s">
        <v>611</v>
      </c>
      <c r="AK54" s="148" t="s">
        <v>455</v>
      </c>
      <c r="AL54" s="28"/>
      <c r="AM54" s="28"/>
      <c r="AN54" s="28"/>
      <c r="AO54" s="28"/>
      <c r="AP54" s="28"/>
      <c r="AQ54" s="28"/>
      <c r="AR54" s="28"/>
      <c r="AS54" s="28"/>
      <c r="AT54" s="1" t="s">
        <v>455</v>
      </c>
      <c r="AX54" s="26"/>
      <c r="AY54" s="22"/>
      <c r="AZ54" s="22"/>
      <c r="BA54" s="12" t="s">
        <v>70</v>
      </c>
      <c r="BB54" s="12"/>
      <c r="BC54" s="13" t="str">
        <f t="shared" si="85"/>
        <v>Classic Maple 12x13 Tom Tom</v>
      </c>
      <c r="BD54" s="12" t="s">
        <v>70</v>
      </c>
      <c r="BE54" s="100"/>
      <c r="BG54" s="13" t="str">
        <f t="shared" si="94"/>
        <v>Legacy Maple 12x13 Tom Tom</v>
      </c>
      <c r="BH54" s="12" t="s">
        <v>70</v>
      </c>
      <c r="BI54" s="98"/>
      <c r="BJ54" s="12"/>
      <c r="BK54" s="13" t="str">
        <f t="shared" si="95"/>
        <v>Legacy Mahogany 12x13 Tom Tom</v>
      </c>
      <c r="BL54" s="12" t="s">
        <v>70</v>
      </c>
      <c r="BM54" s="98"/>
      <c r="BN54" s="12"/>
      <c r="BO54" s="13" t="str">
        <f t="shared" si="96"/>
        <v>Legacy Exotic 12x13 Tom Tom</v>
      </c>
      <c r="BP54" s="12" t="s">
        <v>70</v>
      </c>
      <c r="BQ54" s="94"/>
      <c r="BR54" s="40" t="s">
        <v>717</v>
      </c>
      <c r="BS54" s="12" t="s">
        <v>70</v>
      </c>
      <c r="BT54" s="238"/>
      <c r="BU54" s="239" t="s">
        <v>70</v>
      </c>
      <c r="BV54" s="240" t="s">
        <v>717</v>
      </c>
      <c r="BW54" s="241">
        <f t="shared" si="98"/>
        <v>790</v>
      </c>
      <c r="BX54" s="241">
        <f t="shared" si="98"/>
        <v>1341</v>
      </c>
      <c r="BY54" s="241">
        <f t="shared" si="98"/>
        <v>1341</v>
      </c>
      <c r="BZ54" s="241">
        <f t="shared" si="98"/>
        <v>1486</v>
      </c>
      <c r="CA54" s="241">
        <f t="shared" si="98"/>
        <v>723</v>
      </c>
      <c r="CB54" s="241"/>
      <c r="CC54" s="248" t="s">
        <v>1051</v>
      </c>
      <c r="CD54" s="241"/>
      <c r="CE54" s="241"/>
      <c r="CF54" s="239" t="str">
        <f t="shared" si="87"/>
        <v>12x13 Tom Tom</v>
      </c>
      <c r="CG54" s="130" t="s">
        <v>161</v>
      </c>
      <c r="CH54" s="130" t="s">
        <v>218</v>
      </c>
      <c r="CI54" s="130" t="s">
        <v>276</v>
      </c>
      <c r="CJ54" s="130" t="s">
        <v>334</v>
      </c>
      <c r="CK54" s="130" t="s">
        <v>802</v>
      </c>
      <c r="CL54" s="94"/>
      <c r="CM54" s="288" t="s">
        <v>20</v>
      </c>
      <c r="CN54" s="27" t="str">
        <f t="shared" si="3"/>
        <v>Tom.7x8 Tom Tom</v>
      </c>
      <c r="CO54" s="12" t="s">
        <v>57</v>
      </c>
      <c r="CP54" s="93" t="str">
        <f t="shared" si="79"/>
        <v>ML</v>
      </c>
      <c r="CQ54" s="64" t="s">
        <v>831</v>
      </c>
      <c r="CR54" s="285"/>
      <c r="CS54" s="285"/>
      <c r="CT54" s="285"/>
      <c r="CU54" s="285"/>
      <c r="CV54" s="285"/>
      <c r="CW54" s="285"/>
      <c r="CX54" s="285"/>
      <c r="CY54" s="114" t="s">
        <v>570</v>
      </c>
      <c r="DC54" s="50"/>
      <c r="DE54" s="78" t="s">
        <v>745</v>
      </c>
      <c r="DF54" s="12" t="s">
        <v>848</v>
      </c>
      <c r="DG54" s="9"/>
      <c r="DM54" s="24"/>
      <c r="DN54" s="27"/>
      <c r="DO54" s="45"/>
      <c r="DP54" s="45"/>
      <c r="DQ54" s="41"/>
      <c r="DT54" s="41"/>
      <c r="DU54" s="32"/>
      <c r="ED54" s="41"/>
      <c r="EE54" s="41"/>
      <c r="EF54" s="45"/>
      <c r="EI54" s="46"/>
      <c r="EJ54" t="s">
        <v>356</v>
      </c>
      <c r="EK54" s="331" t="s">
        <v>855</v>
      </c>
      <c r="EL54" s="64" t="s">
        <v>861</v>
      </c>
      <c r="EM54" s="14" t="str">
        <f t="shared" si="83"/>
        <v>Large Classic.Small.Single</v>
      </c>
      <c r="EN54" s="172"/>
      <c r="EO54" s="19" t="s">
        <v>486</v>
      </c>
      <c r="EP54" s="64"/>
      <c r="EQ54" s="19" t="s">
        <v>493</v>
      </c>
      <c r="ER54" s="171" t="s">
        <v>491</v>
      </c>
      <c r="ES54" s="127" t="s">
        <v>1252</v>
      </c>
      <c r="ET54" s="342" t="s">
        <v>486</v>
      </c>
      <c r="EU54" t="str">
        <f t="shared" si="89"/>
        <v>Spurs_Spurs_EFN</v>
      </c>
      <c r="FB54" s="25" t="s">
        <v>635</v>
      </c>
      <c r="FC54">
        <f>IF(SUM(FE53:FE54)&gt;0,1,0)</f>
        <v>0</v>
      </c>
      <c r="FE54" s="24">
        <f>IF(COUNTIF(Mounts,"*"&amp;FF54&amp;"*")&gt;0=TRUE,1,0)</f>
        <v>0</v>
      </c>
      <c r="FF54" s="29" t="s">
        <v>1227</v>
      </c>
      <c r="FG54" s="90"/>
      <c r="FI54" s="24">
        <v>9</v>
      </c>
      <c r="FJ54" s="113" t="s">
        <v>393</v>
      </c>
    </row>
    <row r="55" spans="1:166" x14ac:dyDescent="0.25">
      <c r="A55" s="22"/>
      <c r="B55" s="22"/>
      <c r="C55" s="183"/>
      <c r="D55" s="183"/>
      <c r="E55" s="15"/>
      <c r="F55" s="318"/>
      <c r="G55" s="321"/>
      <c r="H55" s="183"/>
      <c r="T55" s="283" t="s">
        <v>1269</v>
      </c>
      <c r="Y55" s="24"/>
      <c r="Z55" s="24" t="s">
        <v>22</v>
      </c>
      <c r="AA55" t="s">
        <v>585</v>
      </c>
      <c r="AB55" t="s">
        <v>589</v>
      </c>
      <c r="AC55" t="s">
        <v>593</v>
      </c>
      <c r="AD55" t="s">
        <v>597</v>
      </c>
      <c r="AE55" t="s">
        <v>957</v>
      </c>
      <c r="AG55" s="144" t="s">
        <v>475</v>
      </c>
      <c r="AH55" s="146" t="s">
        <v>816</v>
      </c>
      <c r="AI55" s="45" t="s">
        <v>424</v>
      </c>
      <c r="AJ55" s="147" t="s">
        <v>611</v>
      </c>
      <c r="AK55" s="148" t="s">
        <v>455</v>
      </c>
      <c r="AL55" s="28"/>
      <c r="AM55" s="28"/>
      <c r="AN55" s="28"/>
      <c r="AO55" s="28"/>
      <c r="AP55" s="28"/>
      <c r="AQ55" s="28"/>
      <c r="AR55" s="28"/>
      <c r="AS55" s="28"/>
      <c r="AT55" s="1" t="s">
        <v>456</v>
      </c>
      <c r="AX55" s="26"/>
      <c r="AY55" s="22"/>
      <c r="AZ55" s="22"/>
      <c r="BA55" s="12" t="s">
        <v>939</v>
      </c>
      <c r="BB55" s="12"/>
      <c r="BC55" s="13" t="str">
        <f t="shared" si="85"/>
        <v>Classic Maple 9x14 Tom Tom</v>
      </c>
      <c r="BD55" s="12" t="s">
        <v>939</v>
      </c>
      <c r="BE55" s="100"/>
      <c r="BG55" s="13" t="str">
        <f t="shared" si="94"/>
        <v>Legacy Maple 9x14 Tom Tom</v>
      </c>
      <c r="BH55" s="12" t="s">
        <v>939</v>
      </c>
      <c r="BI55" s="98"/>
      <c r="BJ55" s="12"/>
      <c r="BK55" s="13" t="str">
        <f t="shared" si="95"/>
        <v>Legacy Mahogany 9x14 Tom Tom</v>
      </c>
      <c r="BL55" s="12" t="s">
        <v>939</v>
      </c>
      <c r="BM55" s="98"/>
      <c r="BN55" s="12"/>
      <c r="BO55" s="13" t="str">
        <f t="shared" si="96"/>
        <v>Legacy Exotic 9x14 Tom Tom</v>
      </c>
      <c r="BP55" s="12" t="s">
        <v>939</v>
      </c>
      <c r="BQ55" s="94"/>
      <c r="BR55" s="40" t="s">
        <v>737</v>
      </c>
      <c r="BS55" s="12" t="s">
        <v>939</v>
      </c>
      <c r="BT55" s="238"/>
      <c r="BU55" s="239" t="s">
        <v>939</v>
      </c>
      <c r="BV55" s="240" t="s">
        <v>737</v>
      </c>
      <c r="BW55" s="241">
        <f t="shared" si="98"/>
        <v>887</v>
      </c>
      <c r="BX55" s="241">
        <f t="shared" si="98"/>
        <v>1467</v>
      </c>
      <c r="BY55" s="241">
        <f t="shared" si="98"/>
        <v>1467</v>
      </c>
      <c r="BZ55" s="241">
        <f t="shared" si="98"/>
        <v>1612</v>
      </c>
      <c r="CA55" s="241">
        <f t="shared" si="98"/>
        <v>792</v>
      </c>
      <c r="CB55" s="241"/>
      <c r="CC55" s="243" t="s">
        <v>1125</v>
      </c>
      <c r="CD55" s="235">
        <v>0</v>
      </c>
      <c r="CE55" s="241"/>
      <c r="CF55" s="239" t="str">
        <f t="shared" si="87"/>
        <v>9x14 Tom Tom</v>
      </c>
      <c r="CG55" s="130" t="s">
        <v>940</v>
      </c>
      <c r="CH55" s="130" t="s">
        <v>941</v>
      </c>
      <c r="CI55" s="130" t="s">
        <v>942</v>
      </c>
      <c r="CJ55" s="130" t="s">
        <v>943</v>
      </c>
      <c r="CK55" s="130" t="s">
        <v>944</v>
      </c>
      <c r="CL55" s="94"/>
      <c r="CM55" s="288" t="s">
        <v>20</v>
      </c>
      <c r="CN55" s="27" t="str">
        <f t="shared" si="3"/>
        <v>Tom.8x10 Tom Tom</v>
      </c>
      <c r="CO55" s="12" t="s">
        <v>61</v>
      </c>
      <c r="CP55" s="93" t="str">
        <f t="shared" si="79"/>
        <v>MLLCLL</v>
      </c>
      <c r="CQ55" s="285" t="s">
        <v>831</v>
      </c>
      <c r="CR55" s="285" t="s">
        <v>829</v>
      </c>
      <c r="CS55" s="285" t="s">
        <v>731</v>
      </c>
      <c r="CT55" s="285"/>
      <c r="CU55" s="285"/>
      <c r="CV55" s="285"/>
      <c r="CW55" s="285"/>
      <c r="CX55" s="285"/>
      <c r="CY55" s="114" t="s">
        <v>570</v>
      </c>
      <c r="DN55" s="27"/>
      <c r="DO55" s="45"/>
      <c r="DP55" s="45"/>
      <c r="DQ55" s="41"/>
      <c r="DR55" s="41"/>
      <c r="DS55" s="41"/>
      <c r="ED55" s="41"/>
      <c r="EE55" s="41"/>
      <c r="EF55" s="45"/>
      <c r="EI55" s="46"/>
      <c r="EJ55" s="107" t="s">
        <v>1139</v>
      </c>
      <c r="EK55" s="331" t="s">
        <v>855</v>
      </c>
      <c r="EL55" s="64" t="s">
        <v>861</v>
      </c>
      <c r="EM55" s="14" t="str">
        <f t="shared" si="83"/>
        <v>Mach Lugs.Small.Single</v>
      </c>
      <c r="EN55" s="172"/>
      <c r="EO55" s="19" t="s">
        <v>486</v>
      </c>
      <c r="EP55" s="64"/>
      <c r="EQ55" s="19" t="s">
        <v>493</v>
      </c>
      <c r="ER55" s="171" t="s">
        <v>491</v>
      </c>
      <c r="ES55" s="127" t="s">
        <v>1252</v>
      </c>
      <c r="ET55" s="342" t="s">
        <v>486</v>
      </c>
      <c r="EU55" t="str">
        <f t="shared" si="89"/>
        <v>Spurs_Spurs_EFN</v>
      </c>
      <c r="FC55" s="23"/>
      <c r="FJ55" s="24"/>
    </row>
    <row r="56" spans="1:166" x14ac:dyDescent="0.25">
      <c r="A56" s="22"/>
      <c r="B56" s="22"/>
      <c r="C56" s="183"/>
      <c r="D56" s="183"/>
      <c r="E56" s="183"/>
      <c r="F56" s="318"/>
      <c r="G56" s="321"/>
      <c r="H56" s="183"/>
      <c r="T56" s="283" t="s">
        <v>1094</v>
      </c>
      <c r="V56" s="25"/>
      <c r="AG56" s="144" t="s">
        <v>476</v>
      </c>
      <c r="AH56" s="146" t="s">
        <v>816</v>
      </c>
      <c r="AI56" s="45" t="s">
        <v>424</v>
      </c>
      <c r="AJ56" s="147" t="s">
        <v>611</v>
      </c>
      <c r="AK56" s="148" t="s">
        <v>455</v>
      </c>
      <c r="AL56" s="28"/>
      <c r="AM56" s="28"/>
      <c r="AN56" s="28"/>
      <c r="AO56" s="28"/>
      <c r="AP56" s="28"/>
      <c r="AQ56" s="28"/>
      <c r="AR56" s="28"/>
      <c r="AS56" s="28"/>
      <c r="AT56" s="1" t="s">
        <v>457</v>
      </c>
      <c r="AY56" s="22"/>
      <c r="AZ56" s="22"/>
      <c r="BA56" s="12" t="s">
        <v>71</v>
      </c>
      <c r="BB56" s="12"/>
      <c r="BC56" s="13" t="str">
        <f t="shared" si="85"/>
        <v>Classic Maple 10x14 Tom Tom</v>
      </c>
      <c r="BD56" s="12" t="s">
        <v>71</v>
      </c>
      <c r="BE56" s="100"/>
      <c r="BG56" s="13" t="str">
        <f t="shared" si="94"/>
        <v>Legacy Maple 10x14 Tom Tom</v>
      </c>
      <c r="BH56" s="12" t="s">
        <v>71</v>
      </c>
      <c r="BI56" s="98"/>
      <c r="BJ56" s="12"/>
      <c r="BK56" s="13" t="str">
        <f t="shared" si="95"/>
        <v>Legacy Mahogany 10x14 Tom Tom</v>
      </c>
      <c r="BL56" s="12" t="s">
        <v>71</v>
      </c>
      <c r="BM56" s="98"/>
      <c r="BN56" s="12"/>
      <c r="BO56" s="13" t="str">
        <f t="shared" si="96"/>
        <v>Legacy Exotic 10x14 Tom Tom</v>
      </c>
      <c r="BP56" s="12" t="s">
        <v>71</v>
      </c>
      <c r="BQ56" s="94"/>
      <c r="BR56" s="40" t="s">
        <v>718</v>
      </c>
      <c r="BS56" s="12" t="s">
        <v>71</v>
      </c>
      <c r="BT56" s="238"/>
      <c r="BU56" s="239" t="s">
        <v>71</v>
      </c>
      <c r="BV56" s="240" t="s">
        <v>718</v>
      </c>
      <c r="BW56" s="241">
        <f t="shared" si="98"/>
        <v>887</v>
      </c>
      <c r="BX56" s="241">
        <f t="shared" si="98"/>
        <v>1467</v>
      </c>
      <c r="BY56" s="241">
        <f t="shared" si="98"/>
        <v>1467</v>
      </c>
      <c r="BZ56" s="241">
        <f t="shared" si="98"/>
        <v>1612</v>
      </c>
      <c r="CA56" s="241">
        <f t="shared" si="98"/>
        <v>792</v>
      </c>
      <c r="CB56" s="241"/>
      <c r="CC56" s="243" t="s">
        <v>1053</v>
      </c>
      <c r="CD56" s="314">
        <v>20</v>
      </c>
      <c r="CE56" s="241"/>
      <c r="CF56" s="239" t="str">
        <f t="shared" si="87"/>
        <v>10x14 Tom Tom</v>
      </c>
      <c r="CG56" s="130" t="s">
        <v>162</v>
      </c>
      <c r="CH56" s="130" t="s">
        <v>219</v>
      </c>
      <c r="CI56" s="130" t="s">
        <v>277</v>
      </c>
      <c r="CJ56" s="130" t="s">
        <v>335</v>
      </c>
      <c r="CK56" s="130" t="s">
        <v>803</v>
      </c>
      <c r="CL56" s="94"/>
      <c r="CM56" s="288" t="s">
        <v>20</v>
      </c>
      <c r="CN56" s="27" t="str">
        <f t="shared" si="3"/>
        <v>Tom.8x12 Tom Tom</v>
      </c>
      <c r="CO56" s="12" t="s">
        <v>63</v>
      </c>
      <c r="CP56" s="93" t="str">
        <f t="shared" si="79"/>
        <v>MLLCLLSIST</v>
      </c>
      <c r="CQ56" s="285" t="s">
        <v>831</v>
      </c>
      <c r="CR56" s="285" t="s">
        <v>829</v>
      </c>
      <c r="CS56" s="285" t="s">
        <v>731</v>
      </c>
      <c r="CT56" s="285"/>
      <c r="CU56" s="285"/>
      <c r="CV56" s="285" t="s">
        <v>833</v>
      </c>
      <c r="CW56" s="285" t="s">
        <v>1110</v>
      </c>
      <c r="CX56" s="285"/>
      <c r="CY56" s="114" t="s">
        <v>570</v>
      </c>
      <c r="DN56" s="27"/>
      <c r="DO56" s="45"/>
      <c r="DP56" s="45"/>
      <c r="DQ56" s="41"/>
      <c r="DR56" s="41"/>
      <c r="DS56" s="41"/>
      <c r="DU56" s="41"/>
      <c r="ED56" s="41"/>
      <c r="EE56" s="41"/>
      <c r="EF56" s="45"/>
      <c r="EI56" s="46"/>
      <c r="EJ56" t="s">
        <v>359</v>
      </c>
      <c r="EK56" s="331" t="s">
        <v>855</v>
      </c>
      <c r="EL56" s="64" t="s">
        <v>861</v>
      </c>
      <c r="EM56" s="14" t="str">
        <f t="shared" si="83"/>
        <v>Large Twin.Small.Single</v>
      </c>
      <c r="EN56" s="172"/>
      <c r="EO56" s="64"/>
      <c r="EP56" s="64"/>
      <c r="EQ56" s="19" t="s">
        <v>493</v>
      </c>
      <c r="ER56" s="171" t="s">
        <v>491</v>
      </c>
      <c r="ES56" s="127" t="s">
        <v>1250</v>
      </c>
      <c r="ET56" s="342" t="s">
        <v>493</v>
      </c>
      <c r="EU56" t="str">
        <f t="shared" si="89"/>
        <v>Spurs_Spurs_FN</v>
      </c>
      <c r="FB56" s="25" t="s">
        <v>636</v>
      </c>
      <c r="FC56">
        <f>IF(SUM(FE57:FE59)&gt;0,1,0)</f>
        <v>0</v>
      </c>
      <c r="FF56" t="s">
        <v>384</v>
      </c>
      <c r="FI56" s="24" t="s">
        <v>641</v>
      </c>
      <c r="FJ56" s="90" t="s">
        <v>15</v>
      </c>
    </row>
    <row r="57" spans="1:166" ht="15.75" thickBot="1" x14ac:dyDescent="0.3">
      <c r="A57" s="22"/>
      <c r="B57" s="22"/>
      <c r="C57" s="183"/>
      <c r="D57" s="183"/>
      <c r="E57" s="15"/>
      <c r="F57" s="318"/>
      <c r="G57" s="321"/>
      <c r="H57" s="183"/>
      <c r="T57" s="283" t="s">
        <v>1095</v>
      </c>
      <c r="V57" s="25"/>
      <c r="AG57" s="144" t="s">
        <v>477</v>
      </c>
      <c r="AH57" s="146" t="s">
        <v>816</v>
      </c>
      <c r="AI57" s="45" t="s">
        <v>424</v>
      </c>
      <c r="AJ57" s="147" t="s">
        <v>611</v>
      </c>
      <c r="AK57" s="148" t="s">
        <v>455</v>
      </c>
      <c r="AL57" s="28"/>
      <c r="AM57" s="28"/>
      <c r="AN57" s="28"/>
      <c r="AO57" s="28"/>
      <c r="AP57" s="28"/>
      <c r="AQ57" s="28"/>
      <c r="AR57" s="28"/>
      <c r="AS57" s="28"/>
      <c r="AT57" s="204" t="s">
        <v>13</v>
      </c>
      <c r="AY57" s="22"/>
      <c r="AZ57" s="22"/>
      <c r="BA57" s="12" t="s">
        <v>72</v>
      </c>
      <c r="BB57" s="12"/>
      <c r="BC57" s="13" t="str">
        <f t="shared" si="85"/>
        <v>Classic Maple 11x14 Tom Tom</v>
      </c>
      <c r="BD57" s="12" t="s">
        <v>72</v>
      </c>
      <c r="BE57" s="100"/>
      <c r="BG57" s="13" t="str">
        <f t="shared" si="94"/>
        <v>Legacy Maple 11x14 Tom Tom</v>
      </c>
      <c r="BH57" s="12" t="s">
        <v>72</v>
      </c>
      <c r="BI57" s="98"/>
      <c r="BJ57" s="12"/>
      <c r="BK57" s="13" t="str">
        <f t="shared" si="95"/>
        <v>Legacy Mahogany 11x14 Tom Tom</v>
      </c>
      <c r="BL57" s="12" t="s">
        <v>72</v>
      </c>
      <c r="BM57" s="98"/>
      <c r="BN57" s="12"/>
      <c r="BO57" s="13" t="str">
        <f t="shared" si="96"/>
        <v>Legacy Exotic 11x14 Tom Tom</v>
      </c>
      <c r="BP57" s="12" t="s">
        <v>72</v>
      </c>
      <c r="BQ57" s="94"/>
      <c r="BR57" s="40" t="s">
        <v>719</v>
      </c>
      <c r="BS57" s="12" t="s">
        <v>72</v>
      </c>
      <c r="BT57" s="238"/>
      <c r="BU57" s="239" t="s">
        <v>72</v>
      </c>
      <c r="BV57" s="240" t="s">
        <v>719</v>
      </c>
      <c r="BW57" s="241">
        <f t="shared" si="98"/>
        <v>887</v>
      </c>
      <c r="BX57" s="241">
        <f t="shared" si="98"/>
        <v>1467</v>
      </c>
      <c r="BY57" s="241">
        <f t="shared" si="98"/>
        <v>1467</v>
      </c>
      <c r="BZ57" s="241">
        <f t="shared" si="98"/>
        <v>1612</v>
      </c>
      <c r="CA57" s="241">
        <f t="shared" si="98"/>
        <v>792</v>
      </c>
      <c r="CB57" s="241"/>
      <c r="CC57" s="243" t="s">
        <v>1054</v>
      </c>
      <c r="CD57" s="314">
        <v>20</v>
      </c>
      <c r="CE57" s="241"/>
      <c r="CF57" s="239" t="str">
        <f t="shared" si="87"/>
        <v>11x14 Tom Tom</v>
      </c>
      <c r="CG57" s="130" t="s">
        <v>163</v>
      </c>
      <c r="CH57" s="130" t="s">
        <v>220</v>
      </c>
      <c r="CI57" s="130" t="s">
        <v>278</v>
      </c>
      <c r="CJ57" s="130" t="s">
        <v>336</v>
      </c>
      <c r="CK57" s="130" t="s">
        <v>804</v>
      </c>
      <c r="CL57" s="94"/>
      <c r="CM57" s="288" t="s">
        <v>20</v>
      </c>
      <c r="CN57" s="27" t="str">
        <f t="shared" si="3"/>
        <v>Tom.8x6 Tom Tom</v>
      </c>
      <c r="CO57" s="12" t="s">
        <v>56</v>
      </c>
      <c r="CP57" s="93" t="str">
        <f t="shared" si="79"/>
        <v>MLLCLL</v>
      </c>
      <c r="CQ57" s="285" t="s">
        <v>831</v>
      </c>
      <c r="CR57" s="285" t="s">
        <v>829</v>
      </c>
      <c r="CS57" s="285" t="s">
        <v>731</v>
      </c>
      <c r="CT57" s="285"/>
      <c r="CU57" s="285"/>
      <c r="CV57" s="285"/>
      <c r="CW57" s="285"/>
      <c r="CX57" s="285"/>
      <c r="CY57" s="114" t="s">
        <v>569</v>
      </c>
      <c r="DN57" s="27"/>
      <c r="DO57" s="45"/>
      <c r="DP57" s="45"/>
      <c r="DQ57" s="41"/>
      <c r="DR57" s="41"/>
      <c r="DS57" s="41"/>
      <c r="DU57" s="41"/>
      <c r="ED57" s="41"/>
      <c r="EE57" s="41"/>
      <c r="EF57" s="45"/>
      <c r="EI57" s="46"/>
      <c r="EJ57" t="s">
        <v>834</v>
      </c>
      <c r="EK57" s="331" t="s">
        <v>855</v>
      </c>
      <c r="EL57" s="64" t="s">
        <v>861</v>
      </c>
      <c r="EM57" s="14" t="str">
        <f t="shared" si="83"/>
        <v>Large Imperial.Small.Single</v>
      </c>
      <c r="EN57" s="341"/>
      <c r="EO57" s="141"/>
      <c r="EP57" s="141"/>
      <c r="EQ57" s="142" t="s">
        <v>493</v>
      </c>
      <c r="ER57" s="173" t="s">
        <v>491</v>
      </c>
      <c r="ES57" s="127" t="s">
        <v>1250</v>
      </c>
      <c r="ET57" s="342" t="s">
        <v>493</v>
      </c>
      <c r="EU57" t="str">
        <f t="shared" si="89"/>
        <v>Spurs_Spurs_FN</v>
      </c>
      <c r="FB57" s="25" t="s">
        <v>637</v>
      </c>
      <c r="FC57">
        <f>IF(SUM(FE61:FE62)&gt;0,1,0)</f>
        <v>0</v>
      </c>
      <c r="FE57" s="24">
        <f>IF(COUNTIF(Mounts,"*"&amp;FF57&amp;"*")&gt;0=TRUE,1,0)</f>
        <v>0</v>
      </c>
      <c r="FF57" t="s">
        <v>376</v>
      </c>
      <c r="FI57">
        <v>12</v>
      </c>
      <c r="FJ57" s="24" t="s">
        <v>400</v>
      </c>
    </row>
    <row r="58" spans="1:166" x14ac:dyDescent="0.25">
      <c r="A58" s="22"/>
      <c r="H58" s="183"/>
      <c r="T58" t="s">
        <v>1270</v>
      </c>
      <c r="V58" s="25"/>
      <c r="Z58" s="24" t="s">
        <v>656</v>
      </c>
      <c r="AA58" t="s">
        <v>19</v>
      </c>
      <c r="AB58" t="s">
        <v>21</v>
      </c>
      <c r="AC58" t="s">
        <v>20</v>
      </c>
      <c r="AD58" t="s">
        <v>22</v>
      </c>
      <c r="AG58" s="144" t="s">
        <v>478</v>
      </c>
      <c r="AH58" s="146" t="s">
        <v>816</v>
      </c>
      <c r="AI58" s="45" t="s">
        <v>424</v>
      </c>
      <c r="AJ58" s="147" t="s">
        <v>611</v>
      </c>
      <c r="AK58" s="148" t="s">
        <v>455</v>
      </c>
      <c r="AL58" s="28"/>
      <c r="AM58" s="28"/>
      <c r="AN58" s="28"/>
      <c r="AO58" s="28"/>
      <c r="AP58" s="28"/>
      <c r="AQ58" s="28"/>
      <c r="AR58" s="28"/>
      <c r="AS58" s="28"/>
      <c r="AT58" s="204" t="s">
        <v>458</v>
      </c>
      <c r="AY58" s="22"/>
      <c r="AZ58" s="22"/>
      <c r="BA58" s="12" t="s">
        <v>73</v>
      </c>
      <c r="BB58" s="12"/>
      <c r="BC58" s="13" t="str">
        <f t="shared" si="85"/>
        <v>Classic Maple 12x14 Tom Tom</v>
      </c>
      <c r="BD58" s="12" t="s">
        <v>73</v>
      </c>
      <c r="BE58" s="100"/>
      <c r="BG58" s="13" t="str">
        <f t="shared" si="94"/>
        <v>Legacy Maple 12x14 Tom Tom</v>
      </c>
      <c r="BH58" s="12" t="s">
        <v>73</v>
      </c>
      <c r="BI58" s="98"/>
      <c r="BJ58" s="12"/>
      <c r="BK58" s="13" t="str">
        <f t="shared" si="95"/>
        <v>Legacy Mahogany 12x14 Tom Tom</v>
      </c>
      <c r="BL58" s="12" t="s">
        <v>73</v>
      </c>
      <c r="BM58" s="98"/>
      <c r="BN58" s="12"/>
      <c r="BO58" s="13" t="str">
        <f t="shared" si="96"/>
        <v>Legacy Exotic 12x14 Tom Tom</v>
      </c>
      <c r="BP58" s="12" t="s">
        <v>73</v>
      </c>
      <c r="BQ58" s="94"/>
      <c r="BR58" s="40" t="s">
        <v>720</v>
      </c>
      <c r="BS58" s="12" t="s">
        <v>73</v>
      </c>
      <c r="BT58" s="238"/>
      <c r="BU58" s="239" t="s">
        <v>73</v>
      </c>
      <c r="BV58" s="240" t="s">
        <v>720</v>
      </c>
      <c r="BW58" s="241">
        <f t="shared" si="98"/>
        <v>887</v>
      </c>
      <c r="BX58" s="241">
        <f t="shared" si="98"/>
        <v>1467</v>
      </c>
      <c r="BY58" s="241">
        <f t="shared" si="98"/>
        <v>1467</v>
      </c>
      <c r="BZ58" s="241">
        <f t="shared" si="98"/>
        <v>1612</v>
      </c>
      <c r="CA58" s="241">
        <f t="shared" si="98"/>
        <v>792</v>
      </c>
      <c r="CB58" s="241"/>
      <c r="CE58" s="241"/>
      <c r="CF58" s="239" t="str">
        <f t="shared" si="87"/>
        <v>12x14 Tom Tom</v>
      </c>
      <c r="CG58" s="130" t="s">
        <v>164</v>
      </c>
      <c r="CH58" s="130" t="s">
        <v>221</v>
      </c>
      <c r="CI58" s="130" t="s">
        <v>279</v>
      </c>
      <c r="CJ58" s="130" t="s">
        <v>337</v>
      </c>
      <c r="CK58" s="130" t="s">
        <v>805</v>
      </c>
      <c r="CL58" s="94"/>
      <c r="CM58" s="288" t="s">
        <v>20</v>
      </c>
      <c r="CN58" s="27" t="str">
        <f t="shared" si="3"/>
        <v>Tom.8x8 Tom Tom</v>
      </c>
      <c r="CO58" s="12" t="s">
        <v>58</v>
      </c>
      <c r="CP58" s="93" t="str">
        <f t="shared" si="79"/>
        <v>MLLCLL</v>
      </c>
      <c r="CQ58" s="285" t="s">
        <v>831</v>
      </c>
      <c r="CR58" s="285" t="s">
        <v>829</v>
      </c>
      <c r="CS58" s="285" t="s">
        <v>731</v>
      </c>
      <c r="CT58" s="285"/>
      <c r="CU58" s="285"/>
      <c r="CV58" s="285"/>
      <c r="CW58" s="285"/>
      <c r="CX58" s="285"/>
      <c r="CY58" s="114" t="s">
        <v>570</v>
      </c>
      <c r="DN58" s="27"/>
      <c r="DO58" s="45"/>
      <c r="DP58" s="45"/>
      <c r="DQ58" s="41"/>
      <c r="DR58" s="41"/>
      <c r="DS58" s="41"/>
      <c r="DU58" s="41"/>
      <c r="ED58" s="41"/>
      <c r="EE58" s="41"/>
      <c r="EF58" s="45"/>
      <c r="EI58" s="46"/>
      <c r="FB58" s="25" t="s">
        <v>638</v>
      </c>
      <c r="FC58">
        <f>IF(SUM(FE64:FE65)&gt;0,1,0)</f>
        <v>0</v>
      </c>
      <c r="FE58" s="24">
        <f>IF(COUNTIF(Mounts,"*"&amp;FF58&amp;"*")&gt;0=TRUE,1,0)</f>
        <v>0</v>
      </c>
      <c r="FF58" t="s">
        <v>377</v>
      </c>
      <c r="FI58">
        <v>12</v>
      </c>
      <c r="FJ58" s="24" t="s">
        <v>401</v>
      </c>
    </row>
    <row r="59" spans="1:166" x14ac:dyDescent="0.25">
      <c r="A59" s="22"/>
      <c r="H59" s="183"/>
      <c r="T59" s="283" t="s">
        <v>1106</v>
      </c>
      <c r="Z59" t="s">
        <v>551</v>
      </c>
      <c r="AA59" t="str">
        <f>IF($G$26="",$E$26,$G$26)</f>
        <v>Clear PS3</v>
      </c>
      <c r="AB59" t="str">
        <f>IF($G$39="",$E$39,$G$39)</f>
        <v>Clear Emperor</v>
      </c>
      <c r="AC59" t="str">
        <f>IF($G$33="",$E$33,$G$33)</f>
        <v>Clear Emperor</v>
      </c>
      <c r="AD59" t="str">
        <f>IF($G$47="",$E$47,$G$47)</f>
        <v>Heavy Coated</v>
      </c>
      <c r="AG59" s="144" t="s">
        <v>479</v>
      </c>
      <c r="AH59" s="146" t="s">
        <v>816</v>
      </c>
      <c r="AI59" s="45" t="s">
        <v>424</v>
      </c>
      <c r="AJ59" s="147" t="s">
        <v>611</v>
      </c>
      <c r="AK59" s="148" t="s">
        <v>455</v>
      </c>
      <c r="AL59" s="28"/>
      <c r="AM59" s="28"/>
      <c r="AN59" s="28"/>
      <c r="AO59" s="28"/>
      <c r="AP59" s="28"/>
      <c r="AQ59" s="28"/>
      <c r="AR59" s="28"/>
      <c r="AS59" s="28"/>
      <c r="AT59" s="1"/>
      <c r="AY59" s="22"/>
      <c r="AZ59" s="22"/>
      <c r="BA59" s="12" t="s">
        <v>74</v>
      </c>
      <c r="BB59" s="12"/>
      <c r="BC59" s="13" t="str">
        <f t="shared" si="85"/>
        <v>Classic Maple 13x14 Tom Tom</v>
      </c>
      <c r="BD59" s="12" t="s">
        <v>74</v>
      </c>
      <c r="BE59" s="100"/>
      <c r="BG59" s="13" t="str">
        <f t="shared" si="94"/>
        <v>Legacy Maple 13x14 Tom Tom</v>
      </c>
      <c r="BH59" s="12" t="s">
        <v>74</v>
      </c>
      <c r="BI59" s="98"/>
      <c r="BJ59" s="12"/>
      <c r="BK59" s="13" t="str">
        <f t="shared" si="95"/>
        <v>Legacy Mahogany 13x14 Tom Tom</v>
      </c>
      <c r="BL59" s="12" t="s">
        <v>74</v>
      </c>
      <c r="BM59" s="98"/>
      <c r="BN59" s="12"/>
      <c r="BO59" s="13" t="str">
        <f t="shared" si="96"/>
        <v>Legacy Exotic 13x14 Tom Tom</v>
      </c>
      <c r="BP59" s="12" t="s">
        <v>74</v>
      </c>
      <c r="BQ59" s="94"/>
      <c r="BR59" s="40" t="s">
        <v>721</v>
      </c>
      <c r="BS59" s="12" t="s">
        <v>74</v>
      </c>
      <c r="BT59" s="238"/>
      <c r="BU59" s="239" t="s">
        <v>74</v>
      </c>
      <c r="BV59" s="240" t="s">
        <v>721</v>
      </c>
      <c r="BW59" s="241">
        <f t="shared" ref="BW59:CA67" si="99">INDEX($BV:$CA,MATCH(CONCATENATE("D",".",BW$2,".",$BV59,".",$BV$1),$BV:$BV,0),MATCH("Result",$BV$85:$CA$85,0))</f>
        <v>887</v>
      </c>
      <c r="BX59" s="241">
        <f t="shared" si="99"/>
        <v>1467</v>
      </c>
      <c r="BY59" s="241">
        <f t="shared" si="99"/>
        <v>1467</v>
      </c>
      <c r="BZ59" s="241">
        <f t="shared" si="99"/>
        <v>1612</v>
      </c>
      <c r="CA59" s="241">
        <f t="shared" si="99"/>
        <v>792</v>
      </c>
      <c r="CB59" s="241"/>
      <c r="CC59" s="243" t="s">
        <v>1132</v>
      </c>
      <c r="CD59" s="235">
        <v>0</v>
      </c>
      <c r="CE59" s="241"/>
      <c r="CF59" s="239" t="str">
        <f t="shared" si="87"/>
        <v>13x14 Tom Tom</v>
      </c>
      <c r="CG59" s="130" t="s">
        <v>165</v>
      </c>
      <c r="CH59" s="130" t="s">
        <v>222</v>
      </c>
      <c r="CI59" s="130" t="s">
        <v>280</v>
      </c>
      <c r="CJ59" s="130" t="s">
        <v>338</v>
      </c>
      <c r="CK59" s="130" t="s">
        <v>806</v>
      </c>
      <c r="CL59" s="94"/>
      <c r="CM59" s="288" t="s">
        <v>20</v>
      </c>
      <c r="CN59" s="27" t="str">
        <f t="shared" si="3"/>
        <v>Tom.9x10 Tom Tom</v>
      </c>
      <c r="CO59" s="12" t="s">
        <v>62</v>
      </c>
      <c r="CP59" s="93" t="str">
        <f t="shared" si="79"/>
        <v>MLLCLL</v>
      </c>
      <c r="CQ59" s="285" t="s">
        <v>831</v>
      </c>
      <c r="CR59" s="285" t="s">
        <v>829</v>
      </c>
      <c r="CS59" s="285" t="s">
        <v>731</v>
      </c>
      <c r="CT59" s="285"/>
      <c r="CU59" s="285"/>
      <c r="CV59" s="285"/>
      <c r="CW59" s="285"/>
      <c r="CX59" s="285"/>
      <c r="CY59" s="114" t="s">
        <v>570</v>
      </c>
      <c r="DH59" s="29" t="s">
        <v>381</v>
      </c>
      <c r="DI59" s="31" t="s">
        <v>1284</v>
      </c>
      <c r="DN59" s="27"/>
      <c r="DO59" s="45"/>
      <c r="DP59" s="45"/>
      <c r="DQ59" s="41"/>
      <c r="DU59" s="41"/>
      <c r="ED59" s="41"/>
      <c r="EE59" s="41"/>
      <c r="EF59" s="45"/>
      <c r="EI59" s="46"/>
      <c r="FE59" s="24">
        <f>IF(COUNTIF(Mounts,"*"&amp;FF59&amp;"*")&gt;0=TRUE,1,0)</f>
        <v>0</v>
      </c>
      <c r="FF59" t="s">
        <v>1133</v>
      </c>
      <c r="FI59">
        <v>12</v>
      </c>
      <c r="FJ59" s="24" t="s">
        <v>386</v>
      </c>
    </row>
    <row r="60" spans="1:166" x14ac:dyDescent="0.25">
      <c r="A60" s="22"/>
      <c r="B60" s="22"/>
      <c r="C60" s="183"/>
      <c r="D60" s="183"/>
      <c r="E60" s="183"/>
      <c r="F60" s="318"/>
      <c r="G60" s="321"/>
      <c r="H60" s="183"/>
      <c r="T60" s="283" t="s">
        <v>1271</v>
      </c>
      <c r="V60" s="25"/>
      <c r="Z60" t="s">
        <v>552</v>
      </c>
      <c r="AA60" t="str">
        <f>IF($G$25="",$E$25,$G$25)</f>
        <v>Smth White w/Logo</v>
      </c>
      <c r="AB60" t="str">
        <f>IF($G$40="",$E$40,$G$40)</f>
        <v>Clear Ambassador</v>
      </c>
      <c r="AC60" t="str">
        <f>IF($G$34="",$E$34,$G$34)</f>
        <v>Clear Ambassador</v>
      </c>
      <c r="AD60" t="str">
        <f>IF($G$48="",$E$48,$G$48)</f>
        <v>C11 Thin</v>
      </c>
      <c r="AG60" s="144" t="s">
        <v>480</v>
      </c>
      <c r="AH60" s="146" t="s">
        <v>816</v>
      </c>
      <c r="AI60" s="45" t="s">
        <v>424</v>
      </c>
      <c r="AJ60" s="147" t="s">
        <v>611</v>
      </c>
      <c r="AK60" s="148" t="s">
        <v>455</v>
      </c>
      <c r="AL60" s="28"/>
      <c r="AM60" s="28"/>
      <c r="AN60" s="28"/>
      <c r="AO60" s="28"/>
      <c r="AP60" s="28"/>
      <c r="AQ60" s="28"/>
      <c r="AR60" s="28"/>
      <c r="AS60" s="28"/>
      <c r="AY60" s="22"/>
      <c r="AZ60" s="22"/>
      <c r="BA60" s="12" t="s">
        <v>75</v>
      </c>
      <c r="BB60" s="12"/>
      <c r="BC60" s="13" t="str">
        <f t="shared" si="85"/>
        <v>Classic Maple 14x14 Tom Tom</v>
      </c>
      <c r="BD60" s="12" t="s">
        <v>75</v>
      </c>
      <c r="BE60" s="100"/>
      <c r="BG60" s="13" t="str">
        <f t="shared" si="94"/>
        <v>Legacy Maple 14x14 Tom Tom</v>
      </c>
      <c r="BH60" s="12" t="s">
        <v>75</v>
      </c>
      <c r="BI60" s="98"/>
      <c r="BJ60" s="12"/>
      <c r="BK60" s="13" t="str">
        <f t="shared" si="95"/>
        <v>Legacy Mahogany 14x14 Tom Tom</v>
      </c>
      <c r="BL60" s="12" t="s">
        <v>75</v>
      </c>
      <c r="BM60" s="98"/>
      <c r="BN60" s="12"/>
      <c r="BO60" s="13" t="str">
        <f t="shared" si="96"/>
        <v>Legacy Exotic 14x14 Tom Tom</v>
      </c>
      <c r="BP60" s="12" t="s">
        <v>75</v>
      </c>
      <c r="BQ60" s="94"/>
      <c r="BR60" s="40" t="s">
        <v>722</v>
      </c>
      <c r="BS60" s="12" t="s">
        <v>75</v>
      </c>
      <c r="BT60" s="238"/>
      <c r="BU60" s="239" t="s">
        <v>75</v>
      </c>
      <c r="BV60" s="240" t="s">
        <v>722</v>
      </c>
      <c r="BW60" s="241">
        <f t="shared" si="99"/>
        <v>887</v>
      </c>
      <c r="BX60" s="241">
        <f t="shared" si="99"/>
        <v>1467</v>
      </c>
      <c r="BY60" s="241">
        <f t="shared" si="99"/>
        <v>1467</v>
      </c>
      <c r="BZ60" s="241">
        <f t="shared" si="99"/>
        <v>1612</v>
      </c>
      <c r="CA60" s="241">
        <f t="shared" si="99"/>
        <v>792</v>
      </c>
      <c r="CB60" s="241"/>
      <c r="CC60" s="243" t="s">
        <v>1055</v>
      </c>
      <c r="CD60" s="314">
        <v>20</v>
      </c>
      <c r="CE60" s="241"/>
      <c r="CF60" s="239" t="str">
        <f t="shared" si="87"/>
        <v>14x14 Tom Tom</v>
      </c>
      <c r="CG60" s="130" t="s">
        <v>166</v>
      </c>
      <c r="CH60" s="130" t="s">
        <v>223</v>
      </c>
      <c r="CI60" s="130" t="s">
        <v>281</v>
      </c>
      <c r="CJ60" s="130" t="s">
        <v>339</v>
      </c>
      <c r="CK60" s="130" t="s">
        <v>807</v>
      </c>
      <c r="CL60" s="94"/>
      <c r="CM60" s="288" t="s">
        <v>20</v>
      </c>
      <c r="CN60" s="27" t="str">
        <f t="shared" si="3"/>
        <v>Tom.9x12 Tom Tom</v>
      </c>
      <c r="CO60" s="12" t="s">
        <v>64</v>
      </c>
      <c r="CP60" s="93" t="str">
        <f t="shared" si="79"/>
        <v>MLLCLL</v>
      </c>
      <c r="CQ60" s="285" t="s">
        <v>831</v>
      </c>
      <c r="CR60" s="285" t="s">
        <v>829</v>
      </c>
      <c r="CS60" s="285" t="s">
        <v>731</v>
      </c>
      <c r="CT60" s="285"/>
      <c r="CU60" s="285"/>
      <c r="CV60" s="285"/>
      <c r="CW60" s="285"/>
      <c r="CX60" s="285"/>
      <c r="CY60" s="114" t="s">
        <v>570</v>
      </c>
      <c r="DN60" s="27"/>
      <c r="DO60" s="45"/>
      <c r="DP60" s="45"/>
      <c r="DQ60" s="41"/>
      <c r="DR60" s="41"/>
      <c r="DS60" s="41"/>
      <c r="DU60" s="41"/>
      <c r="ED60" s="41"/>
      <c r="EE60" s="41"/>
      <c r="EF60" s="45"/>
      <c r="EI60" s="46"/>
      <c r="FB60" s="25" t="s">
        <v>639</v>
      </c>
      <c r="FC60">
        <f>IF(AND(FC56=1,FC53+FC54&gt;0),1,0)</f>
        <v>0</v>
      </c>
    </row>
    <row r="61" spans="1:166" x14ac:dyDescent="0.25">
      <c r="A61" s="22"/>
      <c r="B61" s="22"/>
      <c r="C61" s="183"/>
      <c r="D61" s="183"/>
      <c r="E61" s="183"/>
      <c r="F61" s="322"/>
      <c r="G61" s="321"/>
      <c r="H61" s="183"/>
      <c r="S61" t="s">
        <v>1149</v>
      </c>
      <c r="AG61" s="144" t="s">
        <v>982</v>
      </c>
      <c r="AH61" s="146" t="s">
        <v>817</v>
      </c>
      <c r="AI61" s="45" t="s">
        <v>424</v>
      </c>
      <c r="AJ61" s="147" t="s">
        <v>611</v>
      </c>
      <c r="AK61" s="148" t="s">
        <v>455</v>
      </c>
      <c r="AL61" s="28"/>
      <c r="AM61" s="28"/>
      <c r="AN61" s="28"/>
      <c r="AO61" s="28"/>
      <c r="AP61" s="28"/>
      <c r="AQ61" s="28"/>
      <c r="AR61" s="28"/>
      <c r="AS61" s="28"/>
      <c r="AY61" s="22"/>
      <c r="AZ61" s="22"/>
      <c r="BA61" s="12" t="s">
        <v>76</v>
      </c>
      <c r="BB61" s="12"/>
      <c r="BC61" s="13" t="str">
        <f t="shared" si="85"/>
        <v>Classic Maple 12x15 Tom Tom</v>
      </c>
      <c r="BD61" s="12" t="s">
        <v>76</v>
      </c>
      <c r="BE61" s="100"/>
      <c r="BG61" s="13" t="str">
        <f t="shared" si="94"/>
        <v>Legacy Maple 12x15 Tom Tom</v>
      </c>
      <c r="BH61" s="12" t="s">
        <v>76</v>
      </c>
      <c r="BI61" s="98"/>
      <c r="BJ61" s="12"/>
      <c r="BK61" s="13" t="str">
        <f t="shared" si="95"/>
        <v>Legacy Mahogany 12x15 Tom Tom</v>
      </c>
      <c r="BL61" s="12" t="s">
        <v>76</v>
      </c>
      <c r="BM61" s="98"/>
      <c r="BN61" s="12"/>
      <c r="BO61" s="13" t="str">
        <f t="shared" si="96"/>
        <v>Legacy Exotic 12x15 Tom Tom</v>
      </c>
      <c r="BP61" s="12" t="s">
        <v>76</v>
      </c>
      <c r="BQ61" s="94"/>
      <c r="BR61" s="40" t="s">
        <v>723</v>
      </c>
      <c r="BS61" s="12" t="s">
        <v>76</v>
      </c>
      <c r="BT61" s="238"/>
      <c r="BU61" s="239" t="s">
        <v>76</v>
      </c>
      <c r="BV61" s="240" t="s">
        <v>723</v>
      </c>
      <c r="BW61" s="241">
        <f t="shared" si="99"/>
        <v>989</v>
      </c>
      <c r="BX61" s="241">
        <f t="shared" si="99"/>
        <v>1530</v>
      </c>
      <c r="BY61" s="241">
        <f t="shared" si="99"/>
        <v>1530</v>
      </c>
      <c r="BZ61" s="241">
        <f t="shared" si="99"/>
        <v>1675</v>
      </c>
      <c r="CA61" s="241">
        <f t="shared" si="99"/>
        <v>883</v>
      </c>
      <c r="CB61" s="241"/>
      <c r="CC61" s="243" t="s">
        <v>1126</v>
      </c>
      <c r="CD61" s="314">
        <v>20</v>
      </c>
      <c r="CE61" s="241"/>
      <c r="CF61" s="239" t="str">
        <f t="shared" si="87"/>
        <v>12x15 Tom Tom</v>
      </c>
      <c r="CG61" s="130" t="s">
        <v>167</v>
      </c>
      <c r="CH61" s="130" t="s">
        <v>224</v>
      </c>
      <c r="CI61" s="130" t="s">
        <v>282</v>
      </c>
      <c r="CJ61" s="130" t="s">
        <v>340</v>
      </c>
      <c r="CK61" s="130" t="s">
        <v>808</v>
      </c>
      <c r="CL61" s="94"/>
      <c r="CM61" s="288" t="s">
        <v>20</v>
      </c>
      <c r="CN61" s="27" t="str">
        <f t="shared" si="3"/>
        <v>Tom.9x13 Tom Tom</v>
      </c>
      <c r="CO61" s="12" t="s">
        <v>67</v>
      </c>
      <c r="CP61" s="93" t="str">
        <f t="shared" si="79"/>
        <v>MLLCLLSIST</v>
      </c>
      <c r="CQ61" s="285" t="s">
        <v>831</v>
      </c>
      <c r="CR61" s="285" t="s">
        <v>829</v>
      </c>
      <c r="CS61" s="285" t="s">
        <v>731</v>
      </c>
      <c r="CT61" s="285"/>
      <c r="CU61" s="285"/>
      <c r="CV61" s="285" t="s">
        <v>833</v>
      </c>
      <c r="CW61" s="285" t="s">
        <v>1110</v>
      </c>
      <c r="CX61" s="285"/>
      <c r="CY61" s="114" t="s">
        <v>570</v>
      </c>
      <c r="DN61" s="27"/>
      <c r="DO61" s="45"/>
      <c r="DP61" s="45"/>
      <c r="DQ61" s="41"/>
      <c r="DR61" s="41"/>
      <c r="DS61" s="41"/>
      <c r="DU61" s="41"/>
      <c r="ED61" s="41"/>
      <c r="EE61" s="41"/>
      <c r="EF61" s="45"/>
      <c r="EI61" s="46"/>
      <c r="EJ61" s="32"/>
      <c r="EL61" s="343" t="s">
        <v>1253</v>
      </c>
      <c r="EM61" s="338" t="s">
        <v>513</v>
      </c>
      <c r="EN61" s="64"/>
      <c r="EO61" s="19"/>
      <c r="EP61" s="19"/>
      <c r="EQ61" s="19"/>
      <c r="ER61" s="19"/>
      <c r="FB61" s="25" t="s">
        <v>640</v>
      </c>
      <c r="FC61">
        <f>IF(OR(AND(FC58=1,FC52+FC53&gt;0),AND(FC57=1,FC52=1)),1,0)</f>
        <v>0</v>
      </c>
      <c r="FE61" s="24">
        <f>IF(COUNTIF(Mounts,"*"&amp;FF61&amp;"*")&gt;0=TRUE,1,0)</f>
        <v>0</v>
      </c>
      <c r="FF61" t="s">
        <v>375</v>
      </c>
      <c r="FI61">
        <v>10</v>
      </c>
      <c r="FJ61" s="24" t="s">
        <v>399</v>
      </c>
    </row>
    <row r="62" spans="1:166" x14ac:dyDescent="0.25">
      <c r="B62" s="22"/>
      <c r="C62" s="183"/>
      <c r="D62" s="183"/>
      <c r="E62" s="183"/>
      <c r="F62" s="318"/>
      <c r="G62" s="321"/>
      <c r="H62" s="179"/>
      <c r="T62" s="283" t="s">
        <v>1151</v>
      </c>
      <c r="AG62" s="144" t="s">
        <v>984</v>
      </c>
      <c r="AH62" s="146" t="s">
        <v>817</v>
      </c>
      <c r="AI62" s="45" t="s">
        <v>424</v>
      </c>
      <c r="AJ62" s="147" t="s">
        <v>611</v>
      </c>
      <c r="AK62" s="148" t="s">
        <v>455</v>
      </c>
      <c r="AL62" s="28"/>
      <c r="AM62" s="28"/>
      <c r="AN62" s="28"/>
      <c r="AO62" s="28"/>
      <c r="AP62" s="28"/>
      <c r="AQ62" s="28"/>
      <c r="AR62" s="28"/>
      <c r="AS62" s="28"/>
      <c r="AT62" s="1"/>
      <c r="AY62" s="22"/>
      <c r="AZ62" s="22"/>
      <c r="BA62" s="12" t="s">
        <v>77</v>
      </c>
      <c r="BB62" s="12"/>
      <c r="BC62" s="13" t="str">
        <f t="shared" si="85"/>
        <v>Classic Maple 13x15 Tom Tom</v>
      </c>
      <c r="BD62" s="12" t="s">
        <v>77</v>
      </c>
      <c r="BE62" s="100"/>
      <c r="BG62" s="13" t="str">
        <f t="shared" si="94"/>
        <v>Legacy Maple 13x15 Tom Tom</v>
      </c>
      <c r="BH62" s="12" t="s">
        <v>77</v>
      </c>
      <c r="BI62" s="98"/>
      <c r="BJ62" s="12"/>
      <c r="BK62" s="13" t="str">
        <f t="shared" si="95"/>
        <v>Legacy Mahogany 13x15 Tom Tom</v>
      </c>
      <c r="BL62" s="12" t="s">
        <v>77</v>
      </c>
      <c r="BM62" s="98"/>
      <c r="BN62" s="12"/>
      <c r="BO62" s="13" t="str">
        <f t="shared" si="96"/>
        <v>Legacy Exotic 13x15 Tom Tom</v>
      </c>
      <c r="BP62" s="12" t="s">
        <v>77</v>
      </c>
      <c r="BQ62" s="94"/>
      <c r="BR62" s="40" t="s">
        <v>724</v>
      </c>
      <c r="BS62" s="12" t="s">
        <v>77</v>
      </c>
      <c r="BT62" s="238"/>
      <c r="BU62" s="239" t="s">
        <v>77</v>
      </c>
      <c r="BV62" s="240" t="s">
        <v>724</v>
      </c>
      <c r="BW62" s="241">
        <f t="shared" si="99"/>
        <v>989</v>
      </c>
      <c r="BX62" s="241">
        <f t="shared" si="99"/>
        <v>1530</v>
      </c>
      <c r="BY62" s="241">
        <f t="shared" si="99"/>
        <v>1530</v>
      </c>
      <c r="BZ62" s="241">
        <f t="shared" si="99"/>
        <v>1675</v>
      </c>
      <c r="CA62" s="241">
        <f t="shared" si="99"/>
        <v>883</v>
      </c>
      <c r="CB62" s="241"/>
      <c r="CE62" s="241"/>
      <c r="CF62" s="239" t="str">
        <f t="shared" si="87"/>
        <v>13x15 Tom Tom</v>
      </c>
      <c r="CG62" s="130" t="s">
        <v>168</v>
      </c>
      <c r="CH62" s="130" t="s">
        <v>225</v>
      </c>
      <c r="CI62" s="130" t="s">
        <v>283</v>
      </c>
      <c r="CJ62" s="130" t="s">
        <v>341</v>
      </c>
      <c r="CK62" s="130" t="s">
        <v>809</v>
      </c>
      <c r="CL62" s="94"/>
      <c r="CM62" s="288" t="s">
        <v>20</v>
      </c>
      <c r="CN62" s="27" t="str">
        <f t="shared" si="3"/>
        <v>Tom.9x14 Tom Tom</v>
      </c>
      <c r="CO62" s="12" t="s">
        <v>939</v>
      </c>
      <c r="CP62" s="93" t="str">
        <f t="shared" si="79"/>
        <v>MLLCLL</v>
      </c>
      <c r="CQ62" s="285" t="s">
        <v>831</v>
      </c>
      <c r="CR62" s="285" t="s">
        <v>829</v>
      </c>
      <c r="CS62" s="285" t="s">
        <v>731</v>
      </c>
      <c r="CT62" s="285"/>
      <c r="CU62" s="285"/>
      <c r="CV62" s="285"/>
      <c r="CW62" s="285"/>
      <c r="CX62" s="285"/>
      <c r="CY62" s="114" t="s">
        <v>570</v>
      </c>
      <c r="DN62" s="27"/>
      <c r="DO62" s="45"/>
      <c r="DP62" s="45"/>
      <c r="DQ62" s="41"/>
      <c r="DR62" s="41"/>
      <c r="DS62" s="41"/>
      <c r="DU62" s="41"/>
      <c r="DY62" s="41"/>
      <c r="ED62" s="41"/>
      <c r="EE62" s="41"/>
      <c r="EF62" s="45"/>
      <c r="EI62" s="46"/>
      <c r="EJ62" s="32"/>
      <c r="EL62" s="31" t="s">
        <v>486</v>
      </c>
      <c r="EM62" s="127" t="s">
        <v>1248</v>
      </c>
      <c r="EN62" s="64" t="s">
        <v>492</v>
      </c>
      <c r="EO62" t="s">
        <v>1255</v>
      </c>
      <c r="EP62" t="s">
        <v>493</v>
      </c>
      <c r="EQ62" t="s">
        <v>491</v>
      </c>
      <c r="ER62" s="19"/>
      <c r="FB62" s="25" t="s">
        <v>648</v>
      </c>
      <c r="FC62">
        <f>SUM(FC60:FC61)</f>
        <v>0</v>
      </c>
      <c r="FE62" s="24">
        <f>IF(COUNTIF(Mounts,"*"&amp;FF62&amp;"*")&gt;0=TRUE,1,0)</f>
        <v>0</v>
      </c>
      <c r="FF62" t="s">
        <v>1135</v>
      </c>
      <c r="FI62">
        <v>10</v>
      </c>
      <c r="FJ62" s="24" t="s">
        <v>386</v>
      </c>
    </row>
    <row r="63" spans="1:166" x14ac:dyDescent="0.25">
      <c r="B63" s="22"/>
      <c r="C63" s="183"/>
      <c r="D63" s="183"/>
      <c r="E63" s="15"/>
      <c r="F63" s="318"/>
      <c r="G63" s="321"/>
      <c r="H63" s="179"/>
      <c r="T63" s="283" t="s">
        <v>1153</v>
      </c>
      <c r="AG63" s="144" t="s">
        <v>987</v>
      </c>
      <c r="AH63" s="146" t="s">
        <v>817</v>
      </c>
      <c r="AI63" s="45" t="s">
        <v>424</v>
      </c>
      <c r="AJ63" s="147" t="s">
        <v>611</v>
      </c>
      <c r="AK63" s="148" t="s">
        <v>455</v>
      </c>
      <c r="AL63" s="28"/>
      <c r="AM63" s="28"/>
      <c r="AN63" s="28"/>
      <c r="AO63" s="28"/>
      <c r="AP63" s="28"/>
      <c r="AQ63" s="28"/>
      <c r="AR63" s="28"/>
      <c r="AS63" s="28"/>
      <c r="AY63" s="22"/>
      <c r="AZ63" s="22"/>
      <c r="BA63" s="12" t="s">
        <v>78</v>
      </c>
      <c r="BB63" s="12"/>
      <c r="BC63" s="13" t="str">
        <f t="shared" si="85"/>
        <v>Classic Maple 14x15 Tom Tom</v>
      </c>
      <c r="BD63" s="12" t="s">
        <v>78</v>
      </c>
      <c r="BE63" s="100"/>
      <c r="BG63" s="13" t="str">
        <f t="shared" si="94"/>
        <v>Legacy Maple 14x15 Tom Tom</v>
      </c>
      <c r="BH63" s="12" t="s">
        <v>78</v>
      </c>
      <c r="BI63" s="98"/>
      <c r="BJ63" s="12"/>
      <c r="BK63" s="13" t="str">
        <f t="shared" si="95"/>
        <v>Legacy Mahogany 14x15 Tom Tom</v>
      </c>
      <c r="BL63" s="12" t="s">
        <v>78</v>
      </c>
      <c r="BM63" s="98"/>
      <c r="BN63" s="12"/>
      <c r="BO63" s="13" t="str">
        <f t="shared" si="96"/>
        <v>Legacy Exotic 14x15 Tom Tom</v>
      </c>
      <c r="BP63" s="12" t="s">
        <v>78</v>
      </c>
      <c r="BQ63" s="94"/>
      <c r="BR63" s="40" t="s">
        <v>725</v>
      </c>
      <c r="BS63" s="12" t="s">
        <v>78</v>
      </c>
      <c r="BT63" s="238"/>
      <c r="BU63" s="239" t="s">
        <v>78</v>
      </c>
      <c r="BV63" s="240" t="s">
        <v>725</v>
      </c>
      <c r="BW63" s="241">
        <f t="shared" si="99"/>
        <v>989</v>
      </c>
      <c r="BX63" s="241">
        <f t="shared" si="99"/>
        <v>1530</v>
      </c>
      <c r="BY63" s="241">
        <f t="shared" si="99"/>
        <v>1530</v>
      </c>
      <c r="BZ63" s="241">
        <f t="shared" si="99"/>
        <v>1675</v>
      </c>
      <c r="CA63" s="241">
        <f t="shared" si="99"/>
        <v>883</v>
      </c>
      <c r="CB63" s="241"/>
      <c r="CC63" s="243" t="s">
        <v>1129</v>
      </c>
      <c r="CD63" s="235">
        <v>0</v>
      </c>
      <c r="CE63" s="241"/>
      <c r="CF63" s="239" t="str">
        <f t="shared" si="87"/>
        <v>14x15 Tom Tom</v>
      </c>
      <c r="CG63" s="130" t="s">
        <v>169</v>
      </c>
      <c r="CH63" s="130" t="s">
        <v>226</v>
      </c>
      <c r="CI63" s="130" t="s">
        <v>284</v>
      </c>
      <c r="CJ63" s="130" t="s">
        <v>342</v>
      </c>
      <c r="CK63" s="130" t="s">
        <v>810</v>
      </c>
      <c r="CL63" s="94"/>
      <c r="CM63" s="288" t="s">
        <v>22</v>
      </c>
      <c r="CN63" s="27" t="str">
        <f t="shared" si="3"/>
        <v>Snare.3.5x13 Snare</v>
      </c>
      <c r="CO63" s="12" t="s">
        <v>84</v>
      </c>
      <c r="CP63" s="93" t="str">
        <f t="shared" si="79"/>
        <v>PTTB</v>
      </c>
      <c r="CQ63" s="285"/>
      <c r="CR63" s="285"/>
      <c r="CS63" s="285"/>
      <c r="CT63" s="285"/>
      <c r="CU63" s="285"/>
      <c r="CV63" s="285"/>
      <c r="CW63" s="285" t="s">
        <v>1112</v>
      </c>
      <c r="CX63" s="285" t="s">
        <v>1111</v>
      </c>
      <c r="DN63" s="27"/>
      <c r="DO63" s="45"/>
      <c r="DP63" s="45"/>
      <c r="DQ63" s="41"/>
      <c r="DR63" s="41"/>
      <c r="DS63" s="41"/>
      <c r="DU63" s="41"/>
      <c r="DV63" s="41"/>
      <c r="DW63" s="41"/>
      <c r="DX63" s="41"/>
      <c r="DY63" s="41"/>
      <c r="DZ63" s="41"/>
      <c r="EA63" s="41"/>
      <c r="EB63" s="41"/>
      <c r="EC63" s="41"/>
      <c r="ED63" s="41"/>
      <c r="EE63" s="41"/>
      <c r="EF63" s="45"/>
      <c r="EI63" s="46"/>
      <c r="EJ63" s="32"/>
      <c r="EL63" s="31" t="s">
        <v>486</v>
      </c>
      <c r="EM63" s="127" t="s">
        <v>1249</v>
      </c>
      <c r="EN63" t="s">
        <v>1255</v>
      </c>
      <c r="EO63" t="s">
        <v>493</v>
      </c>
      <c r="EP63" t="s">
        <v>491</v>
      </c>
      <c r="EQ63" s="19"/>
      <c r="ER63" s="19"/>
      <c r="EX63" t="s">
        <v>651</v>
      </c>
      <c r="EY63" t="s">
        <v>645</v>
      </c>
    </row>
    <row r="64" spans="1:166" x14ac:dyDescent="0.25">
      <c r="B64" s="22"/>
      <c r="C64" s="188"/>
      <c r="D64" s="188"/>
      <c r="E64" s="188"/>
      <c r="F64" s="160"/>
      <c r="G64" s="189"/>
      <c r="H64" s="179"/>
      <c r="T64" s="283" t="s">
        <v>1272</v>
      </c>
      <c r="V64" s="25"/>
      <c r="AG64" s="203" t="s">
        <v>813</v>
      </c>
      <c r="AH64" s="146" t="s">
        <v>115</v>
      </c>
      <c r="AI64" s="45" t="s">
        <v>424</v>
      </c>
      <c r="AJ64" s="147" t="s">
        <v>618</v>
      </c>
      <c r="AK64" s="148" t="s">
        <v>455</v>
      </c>
      <c r="AL64" s="28"/>
      <c r="AM64" s="28"/>
      <c r="AN64" s="28"/>
      <c r="AO64" s="28"/>
      <c r="AP64" s="28"/>
      <c r="AQ64" s="28"/>
      <c r="AR64" s="28"/>
      <c r="AS64" s="28"/>
      <c r="AY64" s="22"/>
      <c r="AZ64" s="22"/>
      <c r="BA64" s="12" t="s">
        <v>79</v>
      </c>
      <c r="BB64" s="12"/>
      <c r="BC64" s="13" t="str">
        <f>$BD$1&amp;" "&amp;BD64</f>
        <v>Classic Maple 14x16 Tom Tom</v>
      </c>
      <c r="BD64" s="12" t="s">
        <v>79</v>
      </c>
      <c r="BE64" s="100"/>
      <c r="BG64" s="13" t="str">
        <f t="shared" si="94"/>
        <v xml:space="preserve">Legacy Maple 13x16 Tom Tom </v>
      </c>
      <c r="BH64" s="12" t="s">
        <v>81</v>
      </c>
      <c r="BI64" s="98"/>
      <c r="BJ64" s="12"/>
      <c r="BK64" s="13" t="str">
        <f t="shared" si="95"/>
        <v xml:space="preserve">Legacy Mahogany 13x16 Tom Tom </v>
      </c>
      <c r="BL64" s="12" t="s">
        <v>81</v>
      </c>
      <c r="BM64" s="98"/>
      <c r="BN64" s="12"/>
      <c r="BO64" s="13" t="str">
        <f t="shared" si="96"/>
        <v xml:space="preserve">Legacy Exotic 13x16 Tom Tom </v>
      </c>
      <c r="BP64" s="12" t="s">
        <v>81</v>
      </c>
      <c r="BQ64" s="94"/>
      <c r="BR64" s="40" t="s">
        <v>727</v>
      </c>
      <c r="BS64" s="12" t="s">
        <v>79</v>
      </c>
      <c r="BT64" s="238"/>
      <c r="BU64" s="239" t="s">
        <v>81</v>
      </c>
      <c r="BV64" s="240" t="s">
        <v>726</v>
      </c>
      <c r="BW64" s="241">
        <f t="shared" si="99"/>
        <v>989</v>
      </c>
      <c r="BX64" s="241">
        <f t="shared" si="99"/>
        <v>1609</v>
      </c>
      <c r="BY64" s="241">
        <f t="shared" si="99"/>
        <v>1609</v>
      </c>
      <c r="BZ64" s="241">
        <f t="shared" si="99"/>
        <v>1754</v>
      </c>
      <c r="CA64" s="241" t="e">
        <f t="shared" si="99"/>
        <v>#N/A</v>
      </c>
      <c r="CB64" s="241"/>
      <c r="CC64" s="243" t="s">
        <v>1056</v>
      </c>
      <c r="CD64" s="314">
        <v>20</v>
      </c>
      <c r="CE64" s="241"/>
      <c r="CF64" s="239" t="str">
        <f t="shared" si="87"/>
        <v xml:space="preserve">13x16 Tom Tom </v>
      </c>
      <c r="CG64" s="153" t="e">
        <v>#N/A</v>
      </c>
      <c r="CH64" s="130" t="s">
        <v>227</v>
      </c>
      <c r="CI64" s="130" t="s">
        <v>285</v>
      </c>
      <c r="CJ64" s="130" t="s">
        <v>343</v>
      </c>
      <c r="CK64" s="153" t="e">
        <v>#N/A</v>
      </c>
      <c r="CL64" s="94"/>
      <c r="CM64" s="288" t="s">
        <v>22</v>
      </c>
      <c r="CN64" s="27" t="str">
        <f t="shared" si="3"/>
        <v>Snare.4x14 8 Lug Snare</v>
      </c>
      <c r="CO64" s="12" t="s">
        <v>745</v>
      </c>
      <c r="CP64" s="93" t="str">
        <f t="shared" si="79"/>
        <v>PTTB</v>
      </c>
      <c r="CQ64" s="285"/>
      <c r="CR64" s="285"/>
      <c r="CS64" s="285"/>
      <c r="CT64" s="285"/>
      <c r="CU64" s="285"/>
      <c r="CV64" s="285"/>
      <c r="CW64" s="285" t="s">
        <v>1112</v>
      </c>
      <c r="CX64" s="285" t="s">
        <v>1111</v>
      </c>
      <c r="DN64" s="27"/>
      <c r="DO64" s="45"/>
      <c r="DP64" s="45"/>
      <c r="DQ64" s="41"/>
      <c r="DR64" s="41"/>
      <c r="DS64" s="41"/>
      <c r="DU64" s="41"/>
      <c r="DV64" s="41"/>
      <c r="DW64" s="41"/>
      <c r="DX64" s="41"/>
      <c r="DZ64" s="41"/>
      <c r="EA64" s="41"/>
      <c r="EB64" s="41"/>
      <c r="EC64" s="41"/>
      <c r="ED64" s="41"/>
      <c r="EE64" s="41"/>
      <c r="EF64" s="45"/>
      <c r="EI64" s="46"/>
      <c r="EJ64" s="32"/>
      <c r="EL64" s="31" t="s">
        <v>493</v>
      </c>
      <c r="EM64" s="127" t="s">
        <v>1250</v>
      </c>
      <c r="EN64" t="s">
        <v>491</v>
      </c>
      <c r="EO64" s="19"/>
      <c r="EP64" s="19"/>
      <c r="EQ64" s="19"/>
      <c r="ER64" s="19"/>
      <c r="EY64" t="s">
        <v>643</v>
      </c>
      <c r="FE64" s="24">
        <f>IF(COUNTIF(Mounts,"*"&amp;FF64&amp;"*")&gt;0=TRUE,1,0)</f>
        <v>0</v>
      </c>
      <c r="FF64" t="s">
        <v>374</v>
      </c>
      <c r="FI64">
        <v>9</v>
      </c>
      <c r="FJ64" s="24" t="s">
        <v>398</v>
      </c>
    </row>
    <row r="65" spans="2:166" x14ac:dyDescent="0.25">
      <c r="C65" s="183"/>
      <c r="D65" s="188"/>
      <c r="E65" s="15"/>
      <c r="F65" s="318"/>
      <c r="G65" s="189"/>
      <c r="H65" s="179"/>
      <c r="T65" s="283" t="s">
        <v>1150</v>
      </c>
      <c r="X65" s="24"/>
      <c r="Y65" s="24"/>
      <c r="Z65" s="24"/>
      <c r="AA65" s="24"/>
      <c r="AB65" s="24"/>
      <c r="AC65" s="24"/>
      <c r="AD65" s="24"/>
      <c r="AG65" s="210" t="s">
        <v>541</v>
      </c>
      <c r="AH65" s="146" t="s">
        <v>115</v>
      </c>
      <c r="AI65" s="45" t="s">
        <v>415</v>
      </c>
      <c r="AJ65" s="147" t="s">
        <v>612</v>
      </c>
      <c r="AK65" s="148" t="s">
        <v>455</v>
      </c>
      <c r="AL65" s="28"/>
      <c r="AM65" s="28"/>
      <c r="AN65" s="28"/>
      <c r="AO65" s="28"/>
      <c r="AP65" s="28"/>
      <c r="AQ65" s="28"/>
      <c r="AR65" s="28"/>
      <c r="AS65" s="28"/>
      <c r="AY65" s="22"/>
      <c r="AZ65" s="22"/>
      <c r="BA65" s="12" t="s">
        <v>80</v>
      </c>
      <c r="BB65" s="12"/>
      <c r="BC65" s="13" t="str">
        <f>$BD$1&amp;" "&amp;BD65</f>
        <v>Classic Maple 16x16 Tom Tom</v>
      </c>
      <c r="BD65" s="12" t="s">
        <v>80</v>
      </c>
      <c r="BE65" s="100"/>
      <c r="BG65" s="13" t="str">
        <f t="shared" si="94"/>
        <v>Legacy Maple 14x16 Tom Tom</v>
      </c>
      <c r="BH65" s="12" t="s">
        <v>79</v>
      </c>
      <c r="BI65" s="98"/>
      <c r="BJ65" s="12"/>
      <c r="BK65" s="13" t="str">
        <f t="shared" si="95"/>
        <v>Legacy Mahogany 14x16 Tom Tom</v>
      </c>
      <c r="BL65" s="12" t="s">
        <v>79</v>
      </c>
      <c r="BM65" s="98"/>
      <c r="BN65" s="12"/>
      <c r="BO65" s="13" t="str">
        <f t="shared" si="96"/>
        <v>Legacy Exotic 14x16 Tom Tom</v>
      </c>
      <c r="BP65" s="12" t="s">
        <v>79</v>
      </c>
      <c r="BQ65" s="94"/>
      <c r="BR65" s="40" t="s">
        <v>729</v>
      </c>
      <c r="BS65" s="12" t="s">
        <v>80</v>
      </c>
      <c r="BT65" s="238"/>
      <c r="BU65" s="239" t="s">
        <v>79</v>
      </c>
      <c r="BV65" s="240" t="s">
        <v>727</v>
      </c>
      <c r="BW65" s="241">
        <f t="shared" si="99"/>
        <v>989</v>
      </c>
      <c r="BX65" s="241">
        <f t="shared" si="99"/>
        <v>1609</v>
      </c>
      <c r="BY65" s="241">
        <f t="shared" si="99"/>
        <v>1609</v>
      </c>
      <c r="BZ65" s="241">
        <f t="shared" si="99"/>
        <v>1754</v>
      </c>
      <c r="CA65" s="241">
        <f t="shared" si="99"/>
        <v>883</v>
      </c>
      <c r="CB65" s="241"/>
      <c r="CC65" s="243" t="s">
        <v>1127</v>
      </c>
      <c r="CD65" s="314">
        <v>20</v>
      </c>
      <c r="CE65" s="241"/>
      <c r="CF65" s="239" t="str">
        <f t="shared" si="87"/>
        <v>14x16 Tom Tom</v>
      </c>
      <c r="CG65" s="130" t="s">
        <v>170</v>
      </c>
      <c r="CH65" s="130" t="s">
        <v>228</v>
      </c>
      <c r="CI65" s="130" t="s">
        <v>286</v>
      </c>
      <c r="CJ65" s="130" t="s">
        <v>344</v>
      </c>
      <c r="CK65" s="130" t="s">
        <v>811</v>
      </c>
      <c r="CL65" s="95"/>
      <c r="CM65" s="288" t="s">
        <v>22</v>
      </c>
      <c r="CN65" s="27" t="str">
        <f t="shared" si="3"/>
        <v>Snare.4x14 Snare</v>
      </c>
      <c r="CO65" s="12" t="s">
        <v>744</v>
      </c>
      <c r="CP65" s="93" t="str">
        <f t="shared" si="79"/>
        <v>PTTB</v>
      </c>
      <c r="CQ65" s="285"/>
      <c r="CR65" s="285"/>
      <c r="CS65" s="285"/>
      <c r="CT65" s="285"/>
      <c r="CU65" s="285"/>
      <c r="CV65" s="285"/>
      <c r="CW65" s="285" t="s">
        <v>1112</v>
      </c>
      <c r="CX65" s="285" t="s">
        <v>1111</v>
      </c>
      <c r="DC65" s="50"/>
      <c r="DD65" s="156" t="s">
        <v>579</v>
      </c>
      <c r="DE65" s="78"/>
      <c r="DF65" s="50"/>
      <c r="DH65" s="29" t="s">
        <v>573</v>
      </c>
      <c r="DI65" s="9" t="s">
        <v>1138</v>
      </c>
      <c r="DM65" s="24"/>
      <c r="DN65" s="27"/>
      <c r="DO65" s="45"/>
      <c r="DP65" s="45"/>
      <c r="DQ65" s="41"/>
      <c r="DR65" s="41"/>
      <c r="DS65" s="41"/>
      <c r="DU65" s="41"/>
      <c r="ED65" s="41"/>
      <c r="EE65" s="41"/>
      <c r="EF65" s="45"/>
      <c r="EI65" s="46"/>
      <c r="EJ65" s="32"/>
      <c r="EL65" s="31" t="s">
        <v>486</v>
      </c>
      <c r="EM65" s="127" t="s">
        <v>1251</v>
      </c>
      <c r="EN65" s="64" t="s">
        <v>492</v>
      </c>
      <c r="EO65" t="s">
        <v>493</v>
      </c>
      <c r="EP65" t="s">
        <v>491</v>
      </c>
      <c r="EQ65" s="19"/>
      <c r="ER65" s="19"/>
      <c r="EY65" t="s">
        <v>644</v>
      </c>
      <c r="FE65" s="24">
        <f>IF(COUNTIF(Mounts,"*"&amp;FF65&amp;"*")&gt;0=TRUE,1,0)</f>
        <v>0</v>
      </c>
      <c r="FF65" t="s">
        <v>1134</v>
      </c>
      <c r="FI65">
        <v>9</v>
      </c>
      <c r="FJ65" s="24" t="s">
        <v>386</v>
      </c>
    </row>
    <row r="66" spans="2:166" x14ac:dyDescent="0.25">
      <c r="C66" s="183"/>
      <c r="D66" s="188"/>
      <c r="E66" s="188"/>
      <c r="F66" s="159"/>
      <c r="G66" s="189"/>
      <c r="H66" s="179"/>
      <c r="T66" t="s">
        <v>1270</v>
      </c>
      <c r="V66" s="25"/>
      <c r="X66" s="24"/>
      <c r="Y66" s="24"/>
      <c r="Z66" s="24"/>
      <c r="AA66" s="24"/>
      <c r="AB66" s="24"/>
      <c r="AC66" s="24"/>
      <c r="AD66" s="24"/>
      <c r="AG66" s="210" t="s">
        <v>990</v>
      </c>
      <c r="AH66" s="90" t="s">
        <v>115</v>
      </c>
      <c r="AI66" s="45" t="s">
        <v>424</v>
      </c>
      <c r="AJ66" s="147" t="s">
        <v>618</v>
      </c>
      <c r="AK66" s="148" t="s">
        <v>455</v>
      </c>
      <c r="AL66" s="28"/>
      <c r="AM66" s="28"/>
      <c r="AN66" s="28"/>
      <c r="AO66" s="28"/>
      <c r="AP66" s="28"/>
      <c r="AQ66" s="28"/>
      <c r="AR66" s="28"/>
      <c r="AS66" s="28"/>
      <c r="AY66" s="22"/>
      <c r="AZ66" s="22"/>
      <c r="BA66" s="12"/>
      <c r="BB66" s="12"/>
      <c r="BD66" s="12"/>
      <c r="BE66" s="97"/>
      <c r="BG66" s="13" t="str">
        <f t="shared" si="94"/>
        <v>Legacy Maple 15x16 Tom Tom</v>
      </c>
      <c r="BH66" s="12" t="s">
        <v>82</v>
      </c>
      <c r="BI66" s="99"/>
      <c r="BJ66" s="12"/>
      <c r="BK66" s="18" t="str">
        <f t="shared" si="95"/>
        <v>Legacy Mahogany 15x16 Tom Tom</v>
      </c>
      <c r="BL66" s="12" t="s">
        <v>82</v>
      </c>
      <c r="BM66" s="99"/>
      <c r="BN66" s="12"/>
      <c r="BO66" s="18" t="str">
        <f t="shared" si="96"/>
        <v>Legacy Exotic 15x16 Tom Tom</v>
      </c>
      <c r="BP66" s="12" t="s">
        <v>82</v>
      </c>
      <c r="BQ66" s="95"/>
      <c r="BR66" s="95"/>
      <c r="BS66" s="95"/>
      <c r="BT66" s="238"/>
      <c r="BU66" s="239" t="s">
        <v>82</v>
      </c>
      <c r="BV66" s="240" t="s">
        <v>728</v>
      </c>
      <c r="BW66" s="241">
        <f t="shared" si="99"/>
        <v>989</v>
      </c>
      <c r="BX66" s="241">
        <f t="shared" si="99"/>
        <v>1609</v>
      </c>
      <c r="BY66" s="241">
        <f t="shared" si="99"/>
        <v>1609</v>
      </c>
      <c r="BZ66" s="241">
        <f t="shared" si="99"/>
        <v>1754</v>
      </c>
      <c r="CA66" s="241" t="e">
        <f t="shared" si="99"/>
        <v>#N/A</v>
      </c>
      <c r="CB66" s="241"/>
      <c r="CE66" s="241"/>
      <c r="CF66" s="239" t="str">
        <f t="shared" si="87"/>
        <v>15x16 Tom Tom</v>
      </c>
      <c r="CG66" s="153" t="e">
        <v>#N/A</v>
      </c>
      <c r="CH66" s="130" t="s">
        <v>229</v>
      </c>
      <c r="CI66" s="130" t="s">
        <v>287</v>
      </c>
      <c r="CJ66" s="130" t="s">
        <v>345</v>
      </c>
      <c r="CK66" s="153" t="e">
        <v>#N/A</v>
      </c>
      <c r="CL66" s="95"/>
      <c r="CM66" s="288" t="s">
        <v>22</v>
      </c>
      <c r="CN66" s="27" t="str">
        <f t="shared" si="3"/>
        <v>Snare.5x14 8 Lug Snare</v>
      </c>
      <c r="CO66" s="12" t="s">
        <v>89</v>
      </c>
      <c r="CP66" s="93" t="str">
        <f t="shared" si="79"/>
        <v>SISTTB</v>
      </c>
      <c r="CQ66" s="285"/>
      <c r="CR66" s="285"/>
      <c r="CS66" s="285"/>
      <c r="CT66" s="285"/>
      <c r="CU66" s="285"/>
      <c r="CV66" s="285" t="s">
        <v>833</v>
      </c>
      <c r="CW66" s="285" t="s">
        <v>1110</v>
      </c>
      <c r="CX66" s="285" t="s">
        <v>1111</v>
      </c>
      <c r="DC66" s="50"/>
      <c r="DD66" s="43" t="s">
        <v>357</v>
      </c>
      <c r="DE66" s="78" t="s">
        <v>572</v>
      </c>
      <c r="DF66" s="50"/>
      <c r="DH66" s="29" t="s">
        <v>1136</v>
      </c>
      <c r="DI66" s="43"/>
      <c r="DM66" s="24"/>
      <c r="DN66" s="27"/>
      <c r="DO66" s="45"/>
      <c r="DP66" s="45"/>
      <c r="DQ66" s="41"/>
      <c r="DR66" s="41"/>
      <c r="DS66" s="41"/>
      <c r="DU66" s="41"/>
      <c r="ED66" s="41"/>
      <c r="EE66" s="41"/>
      <c r="EF66" s="45"/>
      <c r="EI66" s="46"/>
      <c r="EJ66" s="32"/>
      <c r="EL66" s="31" t="s">
        <v>486</v>
      </c>
      <c r="EM66" s="127" t="s">
        <v>1252</v>
      </c>
      <c r="EN66" t="s">
        <v>493</v>
      </c>
      <c r="EO66" t="s">
        <v>491</v>
      </c>
      <c r="EP66" s="19"/>
      <c r="EQ66" s="19"/>
      <c r="ER66" s="19"/>
    </row>
    <row r="67" spans="2:166" x14ac:dyDescent="0.25">
      <c r="B67" s="22"/>
      <c r="C67" s="183"/>
      <c r="D67" s="188"/>
      <c r="E67" s="188"/>
      <c r="F67" s="318"/>
      <c r="G67" s="321"/>
      <c r="H67" s="179"/>
      <c r="T67" s="283" t="s">
        <v>1271</v>
      </c>
      <c r="V67" s="25"/>
      <c r="W67" s="24"/>
      <c r="X67" s="24"/>
      <c r="Y67" s="24"/>
      <c r="Z67" s="24"/>
      <c r="AA67" s="24"/>
      <c r="AB67" s="80"/>
      <c r="AC67" s="24"/>
      <c r="AD67" s="24"/>
      <c r="AG67" s="203" t="s">
        <v>991</v>
      </c>
      <c r="AH67" s="90" t="s">
        <v>115</v>
      </c>
      <c r="AI67" s="45" t="s">
        <v>424</v>
      </c>
      <c r="AJ67" s="147" t="s">
        <v>618</v>
      </c>
      <c r="AK67" s="148" t="s">
        <v>455</v>
      </c>
      <c r="AL67" s="28"/>
      <c r="AM67" s="28"/>
      <c r="AN67" s="28"/>
      <c r="AO67" s="28"/>
      <c r="AP67" s="28"/>
      <c r="AQ67" s="28"/>
      <c r="AR67" s="28"/>
      <c r="AS67" s="28"/>
      <c r="AY67" s="22"/>
      <c r="AZ67" s="22"/>
      <c r="BG67" s="13" t="str">
        <f t="shared" si="94"/>
        <v>Legacy Maple 16x16 Tom Tom</v>
      </c>
      <c r="BH67" s="12" t="s">
        <v>80</v>
      </c>
      <c r="BI67" s="99"/>
      <c r="BK67" s="18" t="str">
        <f t="shared" si="95"/>
        <v>Legacy Mahogany 16x16 Tom Tom</v>
      </c>
      <c r="BL67" s="12" t="s">
        <v>80</v>
      </c>
      <c r="BM67" s="99"/>
      <c r="BN67" s="12"/>
      <c r="BO67" s="18" t="str">
        <f t="shared" si="96"/>
        <v>Legacy Exotic 16x16 Tom Tom</v>
      </c>
      <c r="BP67" s="12" t="s">
        <v>80</v>
      </c>
      <c r="BQ67" s="95"/>
      <c r="BR67" s="95"/>
      <c r="BS67" s="95"/>
      <c r="BT67" s="238"/>
      <c r="BU67" s="239" t="s">
        <v>80</v>
      </c>
      <c r="BV67" s="240" t="s">
        <v>729</v>
      </c>
      <c r="BW67" s="241">
        <f t="shared" si="99"/>
        <v>989</v>
      </c>
      <c r="BX67" s="241">
        <f t="shared" si="99"/>
        <v>1609</v>
      </c>
      <c r="BY67" s="241">
        <f t="shared" si="99"/>
        <v>1609</v>
      </c>
      <c r="BZ67" s="241">
        <f t="shared" si="99"/>
        <v>1754</v>
      </c>
      <c r="CA67" s="241">
        <f t="shared" si="99"/>
        <v>883</v>
      </c>
      <c r="CB67" s="241"/>
      <c r="CC67" s="243" t="s">
        <v>1130</v>
      </c>
      <c r="CD67" s="235">
        <v>0</v>
      </c>
      <c r="CE67" s="241"/>
      <c r="CF67" s="239" t="str">
        <f t="shared" si="87"/>
        <v>16x16 Tom Tom</v>
      </c>
      <c r="CG67" s="130" t="s">
        <v>171</v>
      </c>
      <c r="CH67" s="130" t="s">
        <v>230</v>
      </c>
      <c r="CI67" s="130" t="s">
        <v>288</v>
      </c>
      <c r="CJ67" s="130" t="s">
        <v>346</v>
      </c>
      <c r="CK67" s="130" t="s">
        <v>812</v>
      </c>
      <c r="CM67" s="288" t="s">
        <v>22</v>
      </c>
      <c r="CN67" s="27" t="str">
        <f t="shared" si="3"/>
        <v>Snare.5x14 Snare</v>
      </c>
      <c r="CO67" s="12" t="s">
        <v>86</v>
      </c>
      <c r="CP67" s="93" t="str">
        <f t="shared" si="79"/>
        <v>SISTTB</v>
      </c>
      <c r="CQ67" s="285"/>
      <c r="CR67" s="285"/>
      <c r="CS67" s="285"/>
      <c r="CT67" s="285"/>
      <c r="CU67" s="285"/>
      <c r="CV67" s="285" t="s">
        <v>833</v>
      </c>
      <c r="CW67" s="285" t="s">
        <v>1110</v>
      </c>
      <c r="CX67" s="285" t="s">
        <v>1111</v>
      </c>
      <c r="DC67" s="50"/>
      <c r="DD67" s="43" t="s">
        <v>356</v>
      </c>
      <c r="DE67" s="78" t="s">
        <v>572</v>
      </c>
      <c r="DF67" s="50"/>
      <c r="DH67" s="29" t="s">
        <v>374</v>
      </c>
      <c r="DI67" s="43"/>
      <c r="DM67" s="24"/>
      <c r="DN67" s="27"/>
      <c r="DO67" s="45"/>
      <c r="DP67" s="45"/>
      <c r="DQ67" s="41"/>
      <c r="DR67" s="41"/>
      <c r="DS67" s="41"/>
      <c r="DU67" s="41"/>
      <c r="ED67" s="41"/>
      <c r="EE67" s="41"/>
      <c r="EF67" s="45"/>
      <c r="EI67" s="46"/>
      <c r="EJ67" s="32"/>
      <c r="EL67"/>
      <c r="EM67" s="54"/>
      <c r="EN67" s="64"/>
      <c r="EO67" s="19"/>
      <c r="EP67" s="19"/>
      <c r="EQ67" s="19"/>
      <c r="ER67" s="19"/>
      <c r="EX67" t="s">
        <v>650</v>
      </c>
      <c r="EY67" t="s">
        <v>646</v>
      </c>
      <c r="FJ67" s="24"/>
    </row>
    <row r="68" spans="2:166" x14ac:dyDescent="0.25">
      <c r="C68" s="183"/>
      <c r="D68" s="188"/>
      <c r="E68" s="188"/>
      <c r="F68" s="159"/>
      <c r="G68" s="189"/>
      <c r="H68" s="43"/>
      <c r="S68" s="214" t="s">
        <v>627</v>
      </c>
      <c r="V68" s="25"/>
      <c r="W68" s="25"/>
      <c r="X68" s="24"/>
      <c r="Y68" s="24"/>
      <c r="Z68" s="24"/>
      <c r="AA68" s="24"/>
      <c r="AB68" s="24"/>
      <c r="AC68" s="24"/>
      <c r="AD68" s="24"/>
      <c r="AG68" s="151" t="s">
        <v>9</v>
      </c>
      <c r="AH68" s="152" t="s">
        <v>815</v>
      </c>
      <c r="AI68" s="45" t="s">
        <v>410</v>
      </c>
      <c r="AJ68" s="147" t="s">
        <v>620</v>
      </c>
      <c r="AK68" s="148" t="s">
        <v>9</v>
      </c>
      <c r="AL68" s="28"/>
      <c r="AM68" s="28"/>
      <c r="AN68" s="28"/>
      <c r="AO68" s="28"/>
      <c r="AP68" s="28"/>
      <c r="AQ68" s="28"/>
      <c r="AR68" s="28"/>
      <c r="AS68" s="28"/>
      <c r="AY68" s="22"/>
      <c r="AZ68" s="22"/>
      <c r="BA68" s="22"/>
      <c r="BB68" s="22"/>
      <c r="BM68" s="31"/>
      <c r="BU68" s="250"/>
      <c r="BV68" s="240"/>
      <c r="CC68" s="243" t="s">
        <v>1057</v>
      </c>
      <c r="CD68" s="314">
        <v>20</v>
      </c>
      <c r="CF68" s="250"/>
      <c r="CM68" s="288" t="s">
        <v>22</v>
      </c>
      <c r="CN68" s="27" t="str">
        <f t="shared" si="3"/>
        <v>Snare.5.5x14 Snare</v>
      </c>
      <c r="CO68" s="44" t="s">
        <v>1206</v>
      </c>
      <c r="CP68" s="93" t="str">
        <f t="shared" si="79"/>
        <v>SISTTB</v>
      </c>
      <c r="CV68" s="324" t="s">
        <v>833</v>
      </c>
      <c r="CW68" s="324" t="s">
        <v>1110</v>
      </c>
      <c r="CX68" s="324" t="s">
        <v>1111</v>
      </c>
      <c r="DC68" s="50"/>
      <c r="DD68" s="43" t="s">
        <v>358</v>
      </c>
      <c r="DE68" s="78" t="s">
        <v>568</v>
      </c>
      <c r="DF68" s="50"/>
      <c r="DH68" s="29" t="s">
        <v>377</v>
      </c>
      <c r="DI68" s="43"/>
      <c r="DM68" s="24"/>
      <c r="DN68" s="27"/>
      <c r="DO68" s="45"/>
      <c r="DP68" s="45"/>
      <c r="DQ68" s="41"/>
      <c r="DR68" s="41"/>
      <c r="DS68" s="41"/>
      <c r="DU68" s="41"/>
      <c r="ED68" s="41"/>
      <c r="EE68" s="41"/>
      <c r="EF68" s="45"/>
      <c r="EI68" s="46"/>
      <c r="EJ68" s="32"/>
      <c r="EL68"/>
      <c r="EM68" s="54"/>
      <c r="EN68" s="64"/>
      <c r="EO68" s="19"/>
      <c r="EP68" s="19"/>
      <c r="EQ68" s="19"/>
      <c r="ER68" s="19"/>
      <c r="EY68" t="s">
        <v>647</v>
      </c>
      <c r="FJ68" s="24"/>
    </row>
    <row r="69" spans="2:166" x14ac:dyDescent="0.25">
      <c r="C69" s="183"/>
      <c r="D69" s="188"/>
      <c r="E69" s="188"/>
      <c r="F69" s="159"/>
      <c r="G69" s="189"/>
      <c r="H69" s="43"/>
      <c r="S69" s="214" t="s">
        <v>626</v>
      </c>
      <c r="W69" s="25"/>
      <c r="X69" s="25"/>
      <c r="AG69" s="151" t="s">
        <v>433</v>
      </c>
      <c r="AH69" s="152" t="s">
        <v>815</v>
      </c>
      <c r="AI69" s="45" t="s">
        <v>410</v>
      </c>
      <c r="AJ69" s="147" t="s">
        <v>620</v>
      </c>
      <c r="AK69" s="148" t="s">
        <v>433</v>
      </c>
      <c r="AL69" s="28"/>
      <c r="AM69" s="28"/>
      <c r="AN69" s="28"/>
      <c r="AO69" s="28"/>
      <c r="AP69" s="28"/>
      <c r="AQ69" s="28"/>
      <c r="AR69" s="28"/>
      <c r="AS69" s="28"/>
      <c r="AY69" s="24"/>
      <c r="AZ69" s="24"/>
      <c r="BA69" s="22"/>
      <c r="BB69" s="22"/>
      <c r="BC69" s="26" t="s">
        <v>111</v>
      </c>
      <c r="BD69" s="11" t="s">
        <v>99</v>
      </c>
      <c r="BE69" s="12"/>
      <c r="BF69" t="s">
        <v>545</v>
      </c>
      <c r="BG69" s="15" t="s">
        <v>111</v>
      </c>
      <c r="BH69" s="6" t="s">
        <v>751</v>
      </c>
      <c r="BK69" s="15" t="s">
        <v>111</v>
      </c>
      <c r="BL69" s="6" t="s">
        <v>100</v>
      </c>
      <c r="BO69" s="15" t="s">
        <v>111</v>
      </c>
      <c r="BP69" s="6" t="s">
        <v>101</v>
      </c>
      <c r="BR69" s="15" t="s">
        <v>111</v>
      </c>
      <c r="BS69" s="6" t="s">
        <v>758</v>
      </c>
      <c r="BU69" s="250"/>
      <c r="BV69" s="236"/>
      <c r="CC69" s="243" t="s">
        <v>1128</v>
      </c>
      <c r="CD69" s="314">
        <v>20</v>
      </c>
      <c r="CF69" s="250"/>
      <c r="CL69" s="95"/>
      <c r="CM69" s="288" t="s">
        <v>22</v>
      </c>
      <c r="CN69" s="27" t="str">
        <f t="shared" si="3"/>
        <v>Snare.5.5x14 8 Lug Snare</v>
      </c>
      <c r="CO69" s="44" t="s">
        <v>1207</v>
      </c>
      <c r="CP69" s="93" t="str">
        <f t="shared" si="79"/>
        <v>SISTTB</v>
      </c>
      <c r="CV69" s="324" t="s">
        <v>833</v>
      </c>
      <c r="CW69" s="324" t="s">
        <v>1110</v>
      </c>
      <c r="CX69" s="324" t="s">
        <v>1111</v>
      </c>
      <c r="DC69" s="50"/>
      <c r="DD69" s="43" t="s">
        <v>835</v>
      </c>
      <c r="DE69" s="78" t="s">
        <v>568</v>
      </c>
      <c r="DI69" s="43"/>
      <c r="DM69" s="24"/>
      <c r="DN69" s="27"/>
      <c r="DO69" s="45"/>
      <c r="DP69" s="45"/>
      <c r="DQ69" s="41"/>
      <c r="DR69" s="41"/>
      <c r="DS69" s="41"/>
      <c r="DU69" s="19"/>
      <c r="ED69" s="41"/>
      <c r="EE69" s="41"/>
      <c r="EF69" s="45"/>
      <c r="EI69" s="46"/>
      <c r="EJ69" s="32"/>
      <c r="EL69"/>
      <c r="EM69" s="54"/>
      <c r="FJ69" s="24"/>
    </row>
    <row r="70" spans="2:166" x14ac:dyDescent="0.25">
      <c r="C70" s="22"/>
      <c r="D70" s="48"/>
      <c r="E70" s="48"/>
      <c r="F70" s="158"/>
      <c r="G70" s="194"/>
      <c r="H70" s="43"/>
      <c r="S70" s="214" t="s">
        <v>629</v>
      </c>
      <c r="W70" s="25"/>
      <c r="AG70" s="151" t="s">
        <v>10</v>
      </c>
      <c r="AH70" s="152" t="s">
        <v>815</v>
      </c>
      <c r="AI70" s="45" t="s">
        <v>410</v>
      </c>
      <c r="AJ70" s="147" t="s">
        <v>620</v>
      </c>
      <c r="AK70" s="148" t="s">
        <v>10</v>
      </c>
      <c r="AL70" s="28"/>
      <c r="AM70" s="28"/>
      <c r="AN70" s="28"/>
      <c r="AO70" s="28"/>
      <c r="AP70" s="28"/>
      <c r="AQ70" s="28"/>
      <c r="AR70" s="28"/>
      <c r="AS70" s="28"/>
      <c r="AY70" s="24"/>
      <c r="AZ70" s="24"/>
      <c r="BA70" s="12" t="s">
        <v>83</v>
      </c>
      <c r="BB70" s="12"/>
      <c r="BC70" s="13" t="str">
        <f t="shared" ref="BC70:BC74" si="100">$BD$1&amp;" "&amp;BD70</f>
        <v>Classic Maple 6x12 Snare</v>
      </c>
      <c r="BD70" s="12" t="s">
        <v>83</v>
      </c>
      <c r="BE70" s="96"/>
      <c r="BF70" s="12"/>
      <c r="BG70" s="13" t="str">
        <f t="shared" ref="BG70:BG72" si="101">BH$1&amp;" "&amp;BH70</f>
        <v>Legacy Maple 6x12 Snare</v>
      </c>
      <c r="BH70" s="12" t="s">
        <v>83</v>
      </c>
      <c r="BI70" s="98"/>
      <c r="BJ70" s="12"/>
      <c r="BK70" s="13" t="str">
        <f t="shared" ref="BK70:BK72" si="102">BL$1&amp;" "&amp;BL70</f>
        <v>Legacy Mahogany 6x12 Snare</v>
      </c>
      <c r="BL70" s="12" t="s">
        <v>83</v>
      </c>
      <c r="BM70" s="98"/>
      <c r="BN70" s="12"/>
      <c r="BO70" s="13" t="str">
        <f t="shared" ref="BO70:BO72" si="103">BP$1&amp;" "&amp;BP70</f>
        <v>Legacy Exotic 6x12 Snare</v>
      </c>
      <c r="BP70" s="12" t="s">
        <v>83</v>
      </c>
      <c r="BQ70" s="95"/>
      <c r="BR70" s="13" t="str">
        <f t="shared" ref="BR70:BR79" si="104">BS$1&amp;" "&amp;BS70</f>
        <v>Classic Oak 6x12 Snare</v>
      </c>
      <c r="BS70" s="12" t="s">
        <v>83</v>
      </c>
      <c r="BT70" s="238"/>
      <c r="BU70" s="239" t="s">
        <v>83</v>
      </c>
      <c r="BV70" s="240" t="s">
        <v>675</v>
      </c>
      <c r="BW70" s="241">
        <f t="shared" ref="BW70:CA81" si="105">INDEX($BV:$CA,MATCH(CONCATENATE("D",".",BW$2,".",$BV70,".",$BV$1),$BV:$BV,0),MATCH("Result",$BV$85:$CA$85,0))</f>
        <v>833</v>
      </c>
      <c r="BX70" s="241">
        <f t="shared" si="105"/>
        <v>1033</v>
      </c>
      <c r="BY70" s="241">
        <f t="shared" si="105"/>
        <v>1033</v>
      </c>
      <c r="BZ70" s="241">
        <f t="shared" si="105"/>
        <v>1178</v>
      </c>
      <c r="CA70" s="241">
        <f t="shared" si="105"/>
        <v>656</v>
      </c>
      <c r="CF70" s="239" t="str">
        <f t="shared" ref="CF70:CF74" si="106">BU70</f>
        <v>6x12 Snare</v>
      </c>
      <c r="CG70" s="130" t="s">
        <v>172</v>
      </c>
      <c r="CH70" s="130" t="s">
        <v>231</v>
      </c>
      <c r="CI70" s="130" t="s">
        <v>289</v>
      </c>
      <c r="CJ70" s="130" t="s">
        <v>347</v>
      </c>
      <c r="CK70" s="181" t="s">
        <v>931</v>
      </c>
      <c r="CL70" s="95"/>
      <c r="CM70" s="288" t="s">
        <v>22</v>
      </c>
      <c r="CN70" s="27" t="str">
        <f t="shared" ref="CN70:CN74" si="107">CONCATENATE(CM70,".",CO70)</f>
        <v>Snare.6.5x14 8 Lug Snare</v>
      </c>
      <c r="CO70" s="12" t="s">
        <v>90</v>
      </c>
      <c r="CP70" s="93" t="str">
        <f>CONCATENATE(CQ70,CR70,CS70,CT70,CU70,CV70,CW70,CX70)</f>
        <v>MLLTSISTTB</v>
      </c>
      <c r="CQ70" s="285" t="s">
        <v>831</v>
      </c>
      <c r="CR70" s="285"/>
      <c r="CS70" s="285"/>
      <c r="CT70" s="285"/>
      <c r="CU70" s="285" t="s">
        <v>832</v>
      </c>
      <c r="CV70" s="285" t="s">
        <v>833</v>
      </c>
      <c r="CW70" s="285" t="s">
        <v>1110</v>
      </c>
      <c r="CX70" s="285" t="s">
        <v>1111</v>
      </c>
      <c r="DC70" s="50"/>
      <c r="DD70" s="43" t="s">
        <v>1139</v>
      </c>
      <c r="DE70" s="78" t="s">
        <v>568</v>
      </c>
      <c r="DH70" s="29"/>
      <c r="DI70" s="43"/>
      <c r="DM70" s="24"/>
      <c r="DN70" s="27"/>
      <c r="DO70" s="45"/>
      <c r="DP70" s="45"/>
      <c r="DQ70" s="41"/>
      <c r="DR70" s="41"/>
      <c r="DS70" s="41"/>
      <c r="DT70" s="41"/>
      <c r="DU70" s="41"/>
      <c r="ED70" s="41"/>
      <c r="EE70" s="41"/>
      <c r="EF70" s="45"/>
      <c r="EI70" s="46"/>
      <c r="EJ70" s="32"/>
      <c r="EL70"/>
      <c r="EM70" s="54"/>
      <c r="FJ70" s="24"/>
    </row>
    <row r="71" spans="2:166" x14ac:dyDescent="0.25">
      <c r="C71" s="22"/>
      <c r="D71" s="48"/>
      <c r="E71" s="48"/>
      <c r="F71" s="158"/>
      <c r="G71" s="158"/>
      <c r="H71" s="43"/>
      <c r="S71" s="214" t="s">
        <v>628</v>
      </c>
      <c r="W71" s="25"/>
      <c r="X71" s="24"/>
      <c r="Y71" s="14"/>
      <c r="Z71" s="14"/>
      <c r="AA71" s="14"/>
      <c r="AB71" s="14"/>
      <c r="AC71" s="14"/>
      <c r="AD71" s="14"/>
      <c r="AG71" s="151" t="s">
        <v>11</v>
      </c>
      <c r="AH71" s="152" t="s">
        <v>815</v>
      </c>
      <c r="AI71" s="45" t="s">
        <v>410</v>
      </c>
      <c r="AJ71" s="147" t="s">
        <v>620</v>
      </c>
      <c r="AK71" s="148" t="s">
        <v>11</v>
      </c>
      <c r="AL71" s="28"/>
      <c r="AM71" s="28"/>
      <c r="AN71" s="28"/>
      <c r="AO71" s="28"/>
      <c r="AP71" s="28"/>
      <c r="AQ71" s="28"/>
      <c r="AR71" s="28"/>
      <c r="AS71" s="28"/>
      <c r="AY71" s="24"/>
      <c r="AZ71" s="24"/>
      <c r="BA71" s="12" t="s">
        <v>84</v>
      </c>
      <c r="BB71" s="12"/>
      <c r="BC71" s="13" t="str">
        <f t="shared" si="100"/>
        <v>Classic Maple 3.5x13 Snare</v>
      </c>
      <c r="BD71" s="12" t="s">
        <v>84</v>
      </c>
      <c r="BE71" s="96"/>
      <c r="BF71" s="12"/>
      <c r="BG71" s="13" t="str">
        <f t="shared" si="101"/>
        <v>Legacy Maple 6x13 Snare</v>
      </c>
      <c r="BH71" s="12" t="s">
        <v>85</v>
      </c>
      <c r="BI71" s="98"/>
      <c r="BJ71" s="12"/>
      <c r="BK71" s="13" t="str">
        <f t="shared" si="102"/>
        <v>Legacy Mahogany 6x13 Snare</v>
      </c>
      <c r="BL71" s="12" t="s">
        <v>85</v>
      </c>
      <c r="BM71" s="98"/>
      <c r="BN71" s="12"/>
      <c r="BO71" s="13" t="str">
        <f t="shared" si="103"/>
        <v>Legacy Exotic 6x13 Snare</v>
      </c>
      <c r="BP71" s="12" t="s">
        <v>85</v>
      </c>
      <c r="BQ71" s="95"/>
      <c r="BR71" s="13" t="str">
        <f t="shared" si="104"/>
        <v>Classic Oak 3.5x13 Snare</v>
      </c>
      <c r="BS71" s="12" t="s">
        <v>84</v>
      </c>
      <c r="BT71" s="238"/>
      <c r="BU71" s="239" t="s">
        <v>84</v>
      </c>
      <c r="BV71" s="240" t="s">
        <v>679</v>
      </c>
      <c r="BW71" s="241">
        <f t="shared" si="105"/>
        <v>780</v>
      </c>
      <c r="BX71" s="241" t="e">
        <f t="shared" si="105"/>
        <v>#N/A</v>
      </c>
      <c r="BY71" s="241" t="e">
        <f t="shared" si="105"/>
        <v>#N/A</v>
      </c>
      <c r="BZ71" s="241" t="e">
        <f t="shared" si="105"/>
        <v>#N/A</v>
      </c>
      <c r="CA71" s="241">
        <f t="shared" si="105"/>
        <v>614</v>
      </c>
      <c r="CC71" s="25" t="s">
        <v>1107</v>
      </c>
      <c r="CD71" s="26">
        <v>0</v>
      </c>
      <c r="CF71" s="239" t="str">
        <f t="shared" si="106"/>
        <v>3.5x13 Snare</v>
      </c>
      <c r="CG71" s="130" t="s">
        <v>173</v>
      </c>
      <c r="CH71" s="153" t="e">
        <v>#N/A</v>
      </c>
      <c r="CI71" s="153" t="e">
        <v>#N/A</v>
      </c>
      <c r="CJ71" s="153" t="e">
        <v>#N/A</v>
      </c>
      <c r="CK71" s="181" t="s">
        <v>932</v>
      </c>
      <c r="CL71" s="95"/>
      <c r="CM71" s="288" t="s">
        <v>22</v>
      </c>
      <c r="CN71" s="27" t="str">
        <f t="shared" si="107"/>
        <v>Snare.6.5x14 Snare</v>
      </c>
      <c r="CO71" s="12" t="s">
        <v>87</v>
      </c>
      <c r="CP71" s="93" t="str">
        <f>CONCATENATE(CQ71,CR71,CS71,CT71,CU71,CV71,CW71,CX71)</f>
        <v>MLLTSISTTB</v>
      </c>
      <c r="CQ71" s="285" t="s">
        <v>831</v>
      </c>
      <c r="CR71" s="285"/>
      <c r="CS71" s="285"/>
      <c r="CT71" s="285"/>
      <c r="CU71" s="285" t="s">
        <v>832</v>
      </c>
      <c r="CV71" s="285" t="s">
        <v>833</v>
      </c>
      <c r="CW71" s="285" t="s">
        <v>1110</v>
      </c>
      <c r="CX71" s="285" t="s">
        <v>1111</v>
      </c>
      <c r="DI71" s="43"/>
      <c r="DM71" s="24"/>
      <c r="DN71" s="27"/>
      <c r="DO71" s="45"/>
      <c r="DP71" s="45"/>
      <c r="DQ71" s="41"/>
      <c r="DR71" s="41"/>
      <c r="DS71" s="41"/>
      <c r="DT71" s="32"/>
      <c r="DU71" s="19"/>
      <c r="ED71" s="41"/>
      <c r="EE71" s="41"/>
      <c r="EF71" s="45"/>
      <c r="EI71" s="46"/>
      <c r="EJ71" s="32"/>
      <c r="EL71"/>
      <c r="EM71" s="54"/>
      <c r="FJ71" s="24"/>
    </row>
    <row r="72" spans="2:166" x14ac:dyDescent="0.25">
      <c r="B72" s="22"/>
      <c r="C72" s="22"/>
      <c r="D72" s="43"/>
      <c r="E72" s="43"/>
      <c r="F72" s="52"/>
      <c r="G72" s="52"/>
      <c r="X72" s="24"/>
      <c r="Y72" s="24"/>
      <c r="Z72" s="24"/>
      <c r="AA72" s="24"/>
      <c r="AB72" s="24"/>
      <c r="AC72" s="24"/>
      <c r="AD72" s="24"/>
      <c r="AG72" s="151" t="s">
        <v>445</v>
      </c>
      <c r="AH72" s="152" t="s">
        <v>815</v>
      </c>
      <c r="AI72" s="45" t="s">
        <v>410</v>
      </c>
      <c r="AJ72" s="147" t="s">
        <v>620</v>
      </c>
      <c r="AK72" s="148" t="s">
        <v>445</v>
      </c>
      <c r="AL72" s="28"/>
      <c r="AM72" s="28"/>
      <c r="AN72" s="28"/>
      <c r="AO72" s="28"/>
      <c r="AP72" s="28"/>
      <c r="AQ72" s="28"/>
      <c r="AR72" s="28"/>
      <c r="AS72" s="28"/>
      <c r="AY72" s="24"/>
      <c r="AZ72" s="24"/>
      <c r="BA72" s="12" t="s">
        <v>85</v>
      </c>
      <c r="BB72" s="12"/>
      <c r="BC72" s="13" t="str">
        <f t="shared" si="100"/>
        <v>Classic Maple 6x13 Snare</v>
      </c>
      <c r="BD72" s="12" t="s">
        <v>85</v>
      </c>
      <c r="BE72" s="96"/>
      <c r="BF72" s="12"/>
      <c r="BG72" s="13" t="str">
        <f t="shared" si="101"/>
        <v>Legacy Maple 4x14 Snare</v>
      </c>
      <c r="BH72" s="12" t="s">
        <v>744</v>
      </c>
      <c r="BI72" s="99"/>
      <c r="BJ72" s="12"/>
      <c r="BK72" s="13" t="str">
        <f t="shared" si="102"/>
        <v>Legacy Mahogany 4x14 Snare</v>
      </c>
      <c r="BL72" s="12" t="s">
        <v>744</v>
      </c>
      <c r="BM72" s="99"/>
      <c r="BN72" s="12"/>
      <c r="BO72" s="13" t="str">
        <f t="shared" si="103"/>
        <v>Legacy Exotic 4x14 Snare</v>
      </c>
      <c r="BP72" s="12" t="s">
        <v>744</v>
      </c>
      <c r="BQ72" s="95"/>
      <c r="BR72" s="13" t="str">
        <f t="shared" si="104"/>
        <v>Classic Oak 6x13 Snare</v>
      </c>
      <c r="BS72" s="12" t="s">
        <v>85</v>
      </c>
      <c r="BT72" s="238"/>
      <c r="BU72" s="239" t="s">
        <v>85</v>
      </c>
      <c r="BV72" s="240" t="s">
        <v>676</v>
      </c>
      <c r="BW72" s="241">
        <f t="shared" si="105"/>
        <v>833</v>
      </c>
      <c r="BX72" s="241">
        <f t="shared" si="105"/>
        <v>1061</v>
      </c>
      <c r="BY72" s="241">
        <f t="shared" si="105"/>
        <v>1061</v>
      </c>
      <c r="BZ72" s="241">
        <f t="shared" si="105"/>
        <v>1206</v>
      </c>
      <c r="CA72" s="241">
        <f t="shared" si="105"/>
        <v>656</v>
      </c>
      <c r="CC72" s="25" t="s">
        <v>1108</v>
      </c>
      <c r="CD72" s="317">
        <v>20</v>
      </c>
      <c r="CF72" s="239" t="str">
        <f t="shared" si="106"/>
        <v>6x13 Snare</v>
      </c>
      <c r="CG72" s="130" t="s">
        <v>174</v>
      </c>
      <c r="CH72" s="130" t="s">
        <v>232</v>
      </c>
      <c r="CI72" s="130" t="s">
        <v>290</v>
      </c>
      <c r="CJ72" s="130" t="s">
        <v>348</v>
      </c>
      <c r="CK72" s="181" t="s">
        <v>934</v>
      </c>
      <c r="CL72" s="95"/>
      <c r="CM72" s="288" t="s">
        <v>22</v>
      </c>
      <c r="CN72" s="27" t="str">
        <f t="shared" si="107"/>
        <v>Snare.6x12 Snare</v>
      </c>
      <c r="CO72" s="12" t="s">
        <v>83</v>
      </c>
      <c r="CP72" s="93" t="str">
        <f>CONCATENATE(CQ72,CR72,CS72,CT72,CU72,CV72,CW72,CX72)</f>
        <v>MLSISTTB</v>
      </c>
      <c r="CQ72" s="285" t="s">
        <v>831</v>
      </c>
      <c r="CR72" s="285"/>
      <c r="CS72" s="285"/>
      <c r="CT72" s="285"/>
      <c r="CU72" s="285"/>
      <c r="CV72" s="285" t="s">
        <v>833</v>
      </c>
      <c r="CW72" s="285" t="s">
        <v>1110</v>
      </c>
      <c r="CX72" s="285" t="s">
        <v>1111</v>
      </c>
      <c r="DD72" s="20"/>
      <c r="DH72" s="29" t="s">
        <v>574</v>
      </c>
      <c r="DI72" s="43" t="s">
        <v>577</v>
      </c>
      <c r="DM72" s="24"/>
      <c r="DN72" s="27"/>
      <c r="DO72" s="45"/>
      <c r="DP72" s="45"/>
      <c r="DQ72" s="41"/>
      <c r="DR72" s="41"/>
      <c r="DS72" s="41"/>
      <c r="DT72" s="32"/>
      <c r="DU72" s="19"/>
      <c r="ED72" s="41"/>
      <c r="EE72" s="41"/>
      <c r="EF72" s="45"/>
      <c r="EI72" s="46"/>
      <c r="EJ72" s="32"/>
      <c r="EL72"/>
      <c r="EM72" s="54"/>
      <c r="FJ72" s="24"/>
    </row>
    <row r="73" spans="2:166" x14ac:dyDescent="0.25">
      <c r="C73" s="22"/>
      <c r="D73" s="43"/>
      <c r="E73" s="43"/>
      <c r="F73" s="43"/>
      <c r="G73" s="43"/>
      <c r="S73" s="12" t="s">
        <v>1193</v>
      </c>
      <c r="T73" s="12"/>
      <c r="U73" s="12"/>
      <c r="W73" s="24"/>
      <c r="X73" s="24"/>
      <c r="Y73" s="24"/>
      <c r="Z73" s="24"/>
      <c r="AA73" s="24"/>
      <c r="AB73" s="24"/>
      <c r="AC73" s="24"/>
      <c r="AD73" s="24"/>
      <c r="AG73" s="151" t="s">
        <v>995</v>
      </c>
      <c r="AH73" s="152" t="s">
        <v>815</v>
      </c>
      <c r="AI73" s="45" t="s">
        <v>410</v>
      </c>
      <c r="AJ73" s="147" t="s">
        <v>620</v>
      </c>
      <c r="AK73" s="148" t="s">
        <v>446</v>
      </c>
      <c r="AL73" s="28"/>
      <c r="AM73" s="28"/>
      <c r="AN73" s="28"/>
      <c r="AO73" s="28"/>
      <c r="AP73" s="28"/>
      <c r="AQ73" s="28"/>
      <c r="AR73" s="28"/>
      <c r="AS73" s="28"/>
      <c r="AY73" s="24"/>
      <c r="AZ73" s="24"/>
      <c r="BA73" s="12" t="s">
        <v>744</v>
      </c>
      <c r="BB73" s="12"/>
      <c r="BC73" s="13" t="str">
        <f t="shared" si="100"/>
        <v>Classic Maple 4x14 Snare</v>
      </c>
      <c r="BD73" s="12" t="s">
        <v>744</v>
      </c>
      <c r="BE73" s="96"/>
      <c r="BF73" s="12"/>
      <c r="BG73" s="13" t="str">
        <f t="shared" ref="BG73" si="108">BH$1&amp;" "&amp;BH73</f>
        <v>Legacy Maple 5x14 Snare</v>
      </c>
      <c r="BH73" s="12" t="s">
        <v>86</v>
      </c>
      <c r="BI73" s="99"/>
      <c r="BJ73" s="12"/>
      <c r="BK73" s="13" t="str">
        <f t="shared" ref="BK73" si="109">BL$1&amp;" "&amp;BL73</f>
        <v>Legacy Mahogany 5x14 Snare</v>
      </c>
      <c r="BL73" s="12" t="s">
        <v>86</v>
      </c>
      <c r="BM73" s="99"/>
      <c r="BN73" s="12"/>
      <c r="BO73" s="13" t="str">
        <f t="shared" ref="BO73" si="110">BP$1&amp;" "&amp;BP73</f>
        <v>Legacy Exotic 5x14 Snare</v>
      </c>
      <c r="BP73" s="12" t="s">
        <v>86</v>
      </c>
      <c r="BQ73" s="95"/>
      <c r="BR73" s="13" t="str">
        <f t="shared" si="104"/>
        <v>Classic Oak 4x14 Snare</v>
      </c>
      <c r="BS73" s="12" t="s">
        <v>744</v>
      </c>
      <c r="BT73" s="238"/>
      <c r="BU73" s="239" t="s">
        <v>744</v>
      </c>
      <c r="BV73" s="240" t="s">
        <v>739</v>
      </c>
      <c r="BW73" s="241">
        <f t="shared" si="105"/>
        <v>787</v>
      </c>
      <c r="BX73" s="241">
        <f t="shared" si="105"/>
        <v>1022</v>
      </c>
      <c r="BY73" s="241">
        <f t="shared" si="105"/>
        <v>1022</v>
      </c>
      <c r="BZ73" s="241">
        <f t="shared" si="105"/>
        <v>1167</v>
      </c>
      <c r="CA73" s="241">
        <f t="shared" si="105"/>
        <v>629</v>
      </c>
      <c r="CF73" s="239" t="str">
        <f t="shared" si="106"/>
        <v>4x14 Snare</v>
      </c>
      <c r="CG73" s="130" t="s">
        <v>746</v>
      </c>
      <c r="CH73" s="130" t="s">
        <v>750</v>
      </c>
      <c r="CI73" s="130" t="s">
        <v>752</v>
      </c>
      <c r="CJ73" s="130" t="s">
        <v>753</v>
      </c>
      <c r="CK73" s="181" t="s">
        <v>933</v>
      </c>
      <c r="CL73" s="95"/>
      <c r="CM73" s="288" t="s">
        <v>22</v>
      </c>
      <c r="CN73" s="27" t="str">
        <f t="shared" si="107"/>
        <v>Snare.6x13 Snare</v>
      </c>
      <c r="CO73" s="12" t="s">
        <v>85</v>
      </c>
      <c r="CP73" s="93" t="str">
        <f>CONCATENATE(CQ73,CR73,CS73,CT73,CU73,CV73,CW73,CX73)</f>
        <v>MLSISTTB</v>
      </c>
      <c r="CQ73" s="285" t="s">
        <v>831</v>
      </c>
      <c r="CR73" s="285"/>
      <c r="CS73" s="285"/>
      <c r="CT73" s="285"/>
      <c r="CU73" s="285"/>
      <c r="CV73" s="285" t="s">
        <v>833</v>
      </c>
      <c r="CW73" s="285" t="s">
        <v>1110</v>
      </c>
      <c r="CX73" s="285" t="s">
        <v>1111</v>
      </c>
      <c r="DD73" s="20"/>
      <c r="DH73" s="29" t="s">
        <v>1136</v>
      </c>
      <c r="DI73" s="43"/>
      <c r="DM73" s="24"/>
      <c r="DN73" s="27"/>
      <c r="DO73" s="45"/>
      <c r="DP73" s="45"/>
      <c r="DQ73" s="41"/>
      <c r="DR73" s="41"/>
      <c r="DS73" s="41"/>
      <c r="DT73" s="38"/>
      <c r="DU73" s="19"/>
      <c r="ED73" s="41"/>
      <c r="EE73" s="41"/>
      <c r="EF73" s="45"/>
      <c r="EH73" s="35"/>
      <c r="EI73" s="46"/>
      <c r="EJ73" s="32"/>
      <c r="EK73" s="34"/>
      <c r="EL73"/>
      <c r="EM73" s="19"/>
      <c r="FJ73" s="24"/>
    </row>
    <row r="74" spans="2:166" x14ac:dyDescent="0.25">
      <c r="C74" s="22"/>
      <c r="S74" s="12" t="s">
        <v>1194</v>
      </c>
      <c r="T74" s="12"/>
      <c r="U74" s="12"/>
      <c r="W74" s="25"/>
      <c r="X74" s="24"/>
      <c r="Y74" s="24"/>
      <c r="Z74" s="24"/>
      <c r="AA74" s="24"/>
      <c r="AB74" s="24"/>
      <c r="AC74" s="24"/>
      <c r="AD74" s="24"/>
      <c r="AG74" s="151" t="s">
        <v>452</v>
      </c>
      <c r="AH74" s="152" t="s">
        <v>815</v>
      </c>
      <c r="AI74" s="45" t="s">
        <v>410</v>
      </c>
      <c r="AJ74" s="147" t="s">
        <v>620</v>
      </c>
      <c r="AK74" s="148" t="s">
        <v>452</v>
      </c>
      <c r="AL74" s="28"/>
      <c r="AY74" s="24"/>
      <c r="AZ74" s="24"/>
      <c r="BA74" s="12" t="s">
        <v>86</v>
      </c>
      <c r="BB74" s="12"/>
      <c r="BC74" s="13" t="str">
        <f t="shared" si="100"/>
        <v>Classic Maple 5x14 Snare</v>
      </c>
      <c r="BD74" s="12" t="s">
        <v>86</v>
      </c>
      <c r="BE74" s="96"/>
      <c r="BF74" s="12"/>
      <c r="BG74" s="13" t="str">
        <f t="shared" ref="BG74:BG79" si="111">BH$1&amp;" "&amp;BH74</f>
        <v>Legacy Maple 6.5x14 Snare</v>
      </c>
      <c r="BH74" s="12" t="s">
        <v>87</v>
      </c>
      <c r="BI74" s="99"/>
      <c r="BJ74" s="12"/>
      <c r="BK74" s="13" t="str">
        <f t="shared" ref="BK74:BK79" si="112">BL$1&amp;" "&amp;BL74</f>
        <v>Legacy Mahogany 6.5x14 Snare</v>
      </c>
      <c r="BL74" s="12" t="s">
        <v>87</v>
      </c>
      <c r="BM74" s="99"/>
      <c r="BN74" s="12"/>
      <c r="BO74" s="13" t="str">
        <f t="shared" ref="BO74:BO79" si="113">BP$1&amp;" "&amp;BP74</f>
        <v>Legacy Exotic 6.5x14 Snare</v>
      </c>
      <c r="BP74" s="12" t="s">
        <v>87</v>
      </c>
      <c r="BQ74" s="95"/>
      <c r="BR74" s="13" t="str">
        <f t="shared" si="104"/>
        <v>Classic Oak 5x14 Snare</v>
      </c>
      <c r="BS74" s="12" t="s">
        <v>86</v>
      </c>
      <c r="BT74" s="238"/>
      <c r="BU74" s="239" t="s">
        <v>86</v>
      </c>
      <c r="BV74" s="240" t="s">
        <v>677</v>
      </c>
      <c r="BW74" s="241">
        <f t="shared" si="105"/>
        <v>787</v>
      </c>
      <c r="BX74" s="241">
        <f t="shared" si="105"/>
        <v>1022</v>
      </c>
      <c r="BY74" s="241">
        <f t="shared" si="105"/>
        <v>1022</v>
      </c>
      <c r="BZ74" s="241">
        <f t="shared" si="105"/>
        <v>1167</v>
      </c>
      <c r="CA74" s="241">
        <f t="shared" si="105"/>
        <v>629</v>
      </c>
      <c r="CB74" s="241"/>
      <c r="CC74" s="248"/>
      <c r="CD74" s="241"/>
      <c r="CE74" s="241"/>
      <c r="CF74" s="239" t="str">
        <f t="shared" si="106"/>
        <v>5x14 Snare</v>
      </c>
      <c r="CG74" s="130" t="s">
        <v>175</v>
      </c>
      <c r="CH74" s="130" t="s">
        <v>233</v>
      </c>
      <c r="CI74" s="130" t="s">
        <v>291</v>
      </c>
      <c r="CJ74" s="130" t="s">
        <v>349</v>
      </c>
      <c r="CK74" s="181" t="s">
        <v>935</v>
      </c>
      <c r="CL74" s="95"/>
      <c r="CM74" s="288" t="s">
        <v>22</v>
      </c>
      <c r="CN74" s="27" t="str">
        <f t="shared" si="107"/>
        <v>Snare.8x14 Snare</v>
      </c>
      <c r="CO74" s="12" t="s">
        <v>88</v>
      </c>
      <c r="CP74" s="93" t="str">
        <f>CONCATENATE(CQ74,CR74,CS74,CT74,CU74,CV74,CW74,CX74)</f>
        <v>MLLTSI</v>
      </c>
      <c r="CQ74" s="285" t="s">
        <v>831</v>
      </c>
      <c r="CR74" s="285"/>
      <c r="CS74" s="285"/>
      <c r="CT74" s="285"/>
      <c r="CU74" s="285" t="s">
        <v>832</v>
      </c>
      <c r="CV74" s="285" t="s">
        <v>833</v>
      </c>
      <c r="CW74" s="285"/>
      <c r="CX74" s="285"/>
      <c r="DD74" s="20"/>
      <c r="DH74" s="29" t="s">
        <v>374</v>
      </c>
      <c r="DI74" s="92"/>
      <c r="DM74" s="24"/>
      <c r="DN74" s="27"/>
      <c r="DT74" s="32"/>
      <c r="DU74" s="19"/>
      <c r="EI74" s="46"/>
      <c r="EJ74" s="32"/>
      <c r="EK74" s="34"/>
      <c r="EL74"/>
      <c r="EM74" s="19"/>
      <c r="FF74" s="29" t="s">
        <v>1137</v>
      </c>
      <c r="FG74" s="90"/>
      <c r="FI74" s="24">
        <v>0</v>
      </c>
      <c r="FJ74" s="113" t="s">
        <v>386</v>
      </c>
    </row>
    <row r="75" spans="2:166" x14ac:dyDescent="0.25">
      <c r="C75" s="22"/>
      <c r="S75" s="12"/>
      <c r="T75" s="12" t="s">
        <v>1195</v>
      </c>
      <c r="U75" s="12"/>
      <c r="W75" s="25"/>
      <c r="X75" s="24"/>
      <c r="Y75" s="24"/>
      <c r="Z75" s="24"/>
      <c r="AA75" s="24"/>
      <c r="AB75" s="24"/>
      <c r="AC75" s="24"/>
      <c r="AD75" s="24"/>
      <c r="AG75" s="151" t="s">
        <v>1235</v>
      </c>
      <c r="AH75" s="152" t="s">
        <v>815</v>
      </c>
      <c r="AI75" s="45" t="s">
        <v>410</v>
      </c>
      <c r="AJ75" s="147" t="s">
        <v>620</v>
      </c>
      <c r="AK75" s="148" t="s">
        <v>440</v>
      </c>
      <c r="AL75" s="28"/>
      <c r="AY75" s="24"/>
      <c r="AZ75" s="24"/>
      <c r="BA75" s="12" t="s">
        <v>87</v>
      </c>
      <c r="BB75" s="12"/>
      <c r="BC75" s="13" t="str">
        <f t="shared" ref="BC75:BC80" si="114">$BD$1&amp;" "&amp;BD75</f>
        <v>Classic Maple 6.5x14 Snare</v>
      </c>
      <c r="BD75" s="12" t="s">
        <v>87</v>
      </c>
      <c r="BE75" s="96"/>
      <c r="BF75" s="12"/>
      <c r="BG75" s="13" t="str">
        <f t="shared" si="111"/>
        <v>Legacy Maple 8x14 Snare</v>
      </c>
      <c r="BH75" s="12" t="s">
        <v>88</v>
      </c>
      <c r="BI75" s="99"/>
      <c r="BJ75" s="12"/>
      <c r="BK75" s="13" t="str">
        <f t="shared" si="112"/>
        <v>Legacy Mahogany 8x14 Snare</v>
      </c>
      <c r="BL75" s="12" t="s">
        <v>88</v>
      </c>
      <c r="BM75" s="99"/>
      <c r="BN75" s="12"/>
      <c r="BO75" s="13" t="str">
        <f t="shared" si="113"/>
        <v>Legacy Exotic 8x14 Snare</v>
      </c>
      <c r="BP75" s="12" t="s">
        <v>88</v>
      </c>
      <c r="BQ75" s="95"/>
      <c r="BR75" s="13" t="str">
        <f t="shared" si="104"/>
        <v>Classic Oak 6.5x14 Snare</v>
      </c>
      <c r="BS75" s="12" t="s">
        <v>87</v>
      </c>
      <c r="BT75" s="238"/>
      <c r="BU75" s="239" t="s">
        <v>1206</v>
      </c>
      <c r="BV75" s="240" t="s">
        <v>1208</v>
      </c>
      <c r="BW75" s="241">
        <f t="shared" si="105"/>
        <v>802</v>
      </c>
      <c r="BX75" s="241">
        <f t="shared" si="105"/>
        <v>1048</v>
      </c>
      <c r="BY75" s="241">
        <f t="shared" si="105"/>
        <v>1048</v>
      </c>
      <c r="BZ75" s="241">
        <f t="shared" si="105"/>
        <v>1193</v>
      </c>
      <c r="CA75" s="241">
        <f t="shared" si="105"/>
        <v>643</v>
      </c>
      <c r="CB75" s="241"/>
      <c r="CC75" s="249" t="s">
        <v>908</v>
      </c>
      <c r="CD75" s="241"/>
      <c r="CE75" s="241"/>
      <c r="CF75" s="44" t="s">
        <v>1206</v>
      </c>
      <c r="CG75" s="26" t="s">
        <v>1215</v>
      </c>
      <c r="CH75" s="26" t="s">
        <v>1216</v>
      </c>
      <c r="CI75" s="26" t="s">
        <v>1218</v>
      </c>
      <c r="CJ75" s="26" t="s">
        <v>1217</v>
      </c>
      <c r="CK75" s="26" t="s">
        <v>1219</v>
      </c>
      <c r="CL75" s="95"/>
      <c r="CW75" s="64"/>
      <c r="CX75" s="64"/>
      <c r="DD75" s="20"/>
      <c r="DH75" s="29" t="s">
        <v>376</v>
      </c>
      <c r="DM75" s="24"/>
      <c r="DN75" s="27"/>
      <c r="DQ75" s="33"/>
      <c r="DR75" s="32"/>
      <c r="DS75" s="32"/>
      <c r="DT75" s="32"/>
      <c r="DU75" s="19"/>
      <c r="EI75" s="46"/>
      <c r="EJ75" s="32"/>
      <c r="EK75" s="34"/>
      <c r="EL75"/>
      <c r="EM75" s="19"/>
      <c r="FF75" s="29" t="s">
        <v>1228</v>
      </c>
      <c r="FG75" s="90"/>
      <c r="FI75" s="24">
        <v>0</v>
      </c>
      <c r="FJ75" s="113" t="s">
        <v>388</v>
      </c>
    </row>
    <row r="76" spans="2:166" x14ac:dyDescent="0.25">
      <c r="C76" s="22"/>
      <c r="S76" s="12" t="s">
        <v>1196</v>
      </c>
      <c r="T76" s="12"/>
      <c r="U76" s="12"/>
      <c r="W76" s="25"/>
      <c r="AB76" t="s">
        <v>901</v>
      </c>
      <c r="AG76" s="31"/>
      <c r="AH76" s="90"/>
      <c r="AI76" s="90"/>
      <c r="AL76" s="28"/>
      <c r="AY76" s="24"/>
      <c r="AZ76" s="24"/>
      <c r="BA76" s="12" t="s">
        <v>88</v>
      </c>
      <c r="BB76" s="12"/>
      <c r="BC76" s="13" t="str">
        <f t="shared" si="114"/>
        <v>Classic Maple 8x14 Snare</v>
      </c>
      <c r="BD76" s="12" t="s">
        <v>88</v>
      </c>
      <c r="BE76" s="96"/>
      <c r="BF76" s="12"/>
      <c r="BG76" s="13" t="str">
        <f t="shared" si="111"/>
        <v>Legacy Maple 4x14 8 Lug Snare</v>
      </c>
      <c r="BH76" s="12" t="s">
        <v>745</v>
      </c>
      <c r="BI76" s="99"/>
      <c r="BJ76" s="12"/>
      <c r="BK76" s="13" t="str">
        <f t="shared" si="112"/>
        <v>Legacy Mahogany 4x14 8 Lug Snare</v>
      </c>
      <c r="BL76" s="12" t="s">
        <v>745</v>
      </c>
      <c r="BM76" s="99"/>
      <c r="BN76" s="12"/>
      <c r="BO76" s="13" t="str">
        <f t="shared" si="113"/>
        <v>Legacy Exotic 4x14 8 Lug Snare</v>
      </c>
      <c r="BP76" s="12" t="s">
        <v>745</v>
      </c>
      <c r="BQ76" s="95"/>
      <c r="BR76" s="13" t="str">
        <f t="shared" si="104"/>
        <v>Classic Oak 8x14 Snare</v>
      </c>
      <c r="BS76" s="12" t="s">
        <v>88</v>
      </c>
      <c r="BT76" s="238"/>
      <c r="BU76" s="239" t="s">
        <v>87</v>
      </c>
      <c r="BV76" s="240" t="s">
        <v>680</v>
      </c>
      <c r="BW76" s="241">
        <f t="shared" si="105"/>
        <v>833</v>
      </c>
      <c r="BX76" s="241">
        <f t="shared" si="105"/>
        <v>1101</v>
      </c>
      <c r="BY76" s="241">
        <f t="shared" si="105"/>
        <v>1101</v>
      </c>
      <c r="BZ76" s="241">
        <f t="shared" si="105"/>
        <v>1246</v>
      </c>
      <c r="CA76" s="241">
        <f t="shared" si="105"/>
        <v>671</v>
      </c>
      <c r="CB76" s="241"/>
      <c r="CC76" s="251" t="s">
        <v>1148</v>
      </c>
      <c r="CD76" s="313">
        <v>55</v>
      </c>
      <c r="CE76" s="241"/>
      <c r="CF76" s="239" t="str">
        <f>BU76</f>
        <v>6.5x14 Snare</v>
      </c>
      <c r="CG76" s="130" t="s">
        <v>176</v>
      </c>
      <c r="CH76" s="130" t="s">
        <v>234</v>
      </c>
      <c r="CI76" s="130" t="s">
        <v>292</v>
      </c>
      <c r="CJ76" s="130" t="s">
        <v>350</v>
      </c>
      <c r="CK76" s="181" t="s">
        <v>936</v>
      </c>
      <c r="CL76" s="90"/>
      <c r="CO76" s="107"/>
      <c r="CW76" s="64"/>
      <c r="CX76" s="64"/>
      <c r="DD76" s="20"/>
      <c r="DH76" s="29" t="s">
        <v>377</v>
      </c>
      <c r="DM76" s="24"/>
      <c r="DN76" s="27"/>
      <c r="DQ76" s="33"/>
      <c r="DR76" s="32"/>
      <c r="DS76" s="32"/>
      <c r="DT76" s="34"/>
      <c r="DU76" s="19"/>
      <c r="EI76" s="46"/>
      <c r="EJ76" s="32"/>
      <c r="EK76" s="34"/>
      <c r="EL76"/>
      <c r="EM76" s="19"/>
      <c r="FF76" s="29" t="s">
        <v>1229</v>
      </c>
      <c r="FG76" s="90"/>
      <c r="FI76" s="24">
        <v>0</v>
      </c>
      <c r="FJ76" s="113" t="s">
        <v>391</v>
      </c>
    </row>
    <row r="77" spans="2:166" x14ac:dyDescent="0.25">
      <c r="B77" s="22"/>
      <c r="C77" s="22"/>
      <c r="S77" s="12"/>
      <c r="T77" s="12"/>
      <c r="U77" s="12"/>
      <c r="W77" s="25"/>
      <c r="X77" s="24"/>
      <c r="Y77" s="24"/>
      <c r="AB77" t="str">
        <f>CONCATENATE(INDEX(AE3:AF7,MATCH(C2,AE3:AE7,0),2 ),"_Badge")</f>
        <v>Classic_Maple_Badge</v>
      </c>
      <c r="AL77" s="28"/>
      <c r="AY77" s="24"/>
      <c r="AZ77" s="24"/>
      <c r="BA77" s="12" t="s">
        <v>745</v>
      </c>
      <c r="BB77" s="12"/>
      <c r="BC77" s="13" t="str">
        <f t="shared" si="114"/>
        <v>Classic Maple 4x14 8 Lug Snare</v>
      </c>
      <c r="BD77" s="12" t="s">
        <v>745</v>
      </c>
      <c r="BE77" s="96"/>
      <c r="BF77" s="12"/>
      <c r="BG77" s="13" t="str">
        <f t="shared" si="111"/>
        <v>Legacy Maple 5x14 8 Lug Snare</v>
      </c>
      <c r="BH77" s="12" t="s">
        <v>89</v>
      </c>
      <c r="BI77" s="31"/>
      <c r="BK77" s="13" t="str">
        <f t="shared" si="112"/>
        <v>Legacy Mahogany 5x14 8 Lug Snare</v>
      </c>
      <c r="BL77" s="12" t="s">
        <v>89</v>
      </c>
      <c r="BM77" s="31"/>
      <c r="BO77" s="13" t="str">
        <f t="shared" si="113"/>
        <v>Legacy Exotic 5x14 8 Lug Snare</v>
      </c>
      <c r="BP77" s="12" t="s">
        <v>89</v>
      </c>
      <c r="BQ77" s="90"/>
      <c r="BR77" s="13" t="str">
        <f t="shared" si="104"/>
        <v>Classic Oak 4x14 8 Lug Snare</v>
      </c>
      <c r="BS77" s="12" t="s">
        <v>745</v>
      </c>
      <c r="BT77" s="238"/>
      <c r="BU77" s="239" t="s">
        <v>88</v>
      </c>
      <c r="BV77" s="240" t="s">
        <v>678</v>
      </c>
      <c r="BW77" s="241">
        <f t="shared" si="105"/>
        <v>865</v>
      </c>
      <c r="BX77" s="241">
        <f t="shared" si="105"/>
        <v>1152</v>
      </c>
      <c r="BY77" s="241">
        <f t="shared" si="105"/>
        <v>1152</v>
      </c>
      <c r="BZ77" s="241">
        <f t="shared" si="105"/>
        <v>1297</v>
      </c>
      <c r="CA77" s="241">
        <f t="shared" si="105"/>
        <v>681</v>
      </c>
      <c r="CB77" s="241"/>
      <c r="CC77" s="248"/>
      <c r="CD77" s="241"/>
      <c r="CE77" s="241"/>
      <c r="CF77" s="239" t="str">
        <f>BU77</f>
        <v>8x14 Snare</v>
      </c>
      <c r="CG77" s="130" t="s">
        <v>177</v>
      </c>
      <c r="CH77" s="130" t="s">
        <v>235</v>
      </c>
      <c r="CI77" s="130" t="s">
        <v>293</v>
      </c>
      <c r="CJ77" s="130" t="s">
        <v>351</v>
      </c>
      <c r="CK77" s="181" t="s">
        <v>937</v>
      </c>
      <c r="CL77" s="90"/>
      <c r="CO77" s="285"/>
      <c r="CP77" s="127" t="s">
        <v>831</v>
      </c>
      <c r="CQ77" s="19" t="s">
        <v>357</v>
      </c>
      <c r="CR77" s="19"/>
      <c r="CS77" s="19"/>
      <c r="CT77" s="19"/>
      <c r="CU77" s="64"/>
      <c r="CW77" s="64"/>
      <c r="CX77" s="64"/>
      <c r="DD77" s="20"/>
      <c r="DM77" s="24"/>
      <c r="DT77" s="34"/>
      <c r="DU77" s="19"/>
      <c r="EI77" s="46"/>
      <c r="EJ77" s="32"/>
      <c r="EK77" s="34"/>
      <c r="EL77"/>
      <c r="EM77" s="19"/>
      <c r="FF77" s="10" t="s">
        <v>1230</v>
      </c>
      <c r="FG77" s="90"/>
      <c r="FI77" s="24">
        <v>0</v>
      </c>
      <c r="FJ77" s="113" t="s">
        <v>395</v>
      </c>
    </row>
    <row r="78" spans="2:166" x14ac:dyDescent="0.25">
      <c r="C78" s="22"/>
      <c r="S78" s="12"/>
      <c r="T78" s="12"/>
      <c r="U78" s="12"/>
      <c r="X78" s="24"/>
      <c r="Y78" s="24"/>
      <c r="AB78" s="13"/>
      <c r="AL78" s="28"/>
      <c r="AY78" s="24"/>
      <c r="AZ78" s="24"/>
      <c r="BA78" s="12" t="s">
        <v>89</v>
      </c>
      <c r="BB78" s="12"/>
      <c r="BC78" s="13" t="str">
        <f t="shared" si="114"/>
        <v>Classic Maple 5x14 8 Lug Snare</v>
      </c>
      <c r="BD78" s="12" t="s">
        <v>89</v>
      </c>
      <c r="BE78" s="96"/>
      <c r="BF78" s="12"/>
      <c r="BG78" s="13" t="str">
        <f t="shared" si="111"/>
        <v>Legacy Maple 5.5x14 8 Lug Snare</v>
      </c>
      <c r="BH78" s="44" t="s">
        <v>1207</v>
      </c>
      <c r="BI78" s="31"/>
      <c r="BK78" s="13" t="str">
        <f t="shared" si="112"/>
        <v>Legacy Mahogany 5.5x14 8 Lug Snare</v>
      </c>
      <c r="BL78" s="44" t="s">
        <v>1207</v>
      </c>
      <c r="BM78" s="31"/>
      <c r="BO78" s="13" t="str">
        <f t="shared" si="113"/>
        <v>Legacy Exotic 5.5x14 8 Lug Snare</v>
      </c>
      <c r="BP78" s="44" t="s">
        <v>1207</v>
      </c>
      <c r="BQ78" s="90"/>
      <c r="BR78" s="13" t="str">
        <f t="shared" si="104"/>
        <v>Classic Oak 5x14 8 Lug Snare</v>
      </c>
      <c r="BS78" s="12" t="s">
        <v>89</v>
      </c>
      <c r="BT78" s="238"/>
      <c r="BU78" s="253" t="s">
        <v>745</v>
      </c>
      <c r="BV78" s="236" t="s">
        <v>740</v>
      </c>
      <c r="BW78" s="241">
        <f t="shared" si="105"/>
        <v>790</v>
      </c>
      <c r="BX78" s="241">
        <f t="shared" si="105"/>
        <v>1022</v>
      </c>
      <c r="BY78" s="241">
        <f t="shared" si="105"/>
        <v>1022</v>
      </c>
      <c r="BZ78" s="241">
        <f t="shared" si="105"/>
        <v>1167</v>
      </c>
      <c r="CA78" s="241">
        <f t="shared" si="105"/>
        <v>629</v>
      </c>
      <c r="CB78" s="241"/>
      <c r="CC78" s="248"/>
      <c r="CD78" s="241"/>
      <c r="CE78" s="241"/>
      <c r="CF78" s="239" t="str">
        <f>BU78</f>
        <v>4x14 8 Lug Snare</v>
      </c>
      <c r="CG78" s="130" t="s">
        <v>746</v>
      </c>
      <c r="CH78" s="130" t="s">
        <v>750</v>
      </c>
      <c r="CI78" s="130" t="s">
        <v>752</v>
      </c>
      <c r="CJ78" s="130" t="s">
        <v>753</v>
      </c>
      <c r="CK78" s="113" t="s">
        <v>933</v>
      </c>
      <c r="CO78" s="285"/>
      <c r="CP78" s="127" t="s">
        <v>836</v>
      </c>
      <c r="CQ78" s="19" t="s">
        <v>357</v>
      </c>
      <c r="CR78" s="19" t="s">
        <v>356</v>
      </c>
      <c r="CS78" s="19"/>
      <c r="CT78" s="19"/>
      <c r="CU78" s="64"/>
      <c r="CW78" s="64"/>
      <c r="CX78" s="64"/>
      <c r="DD78" s="20"/>
      <c r="DH78" s="29"/>
      <c r="DI78" s="43"/>
      <c r="DM78" s="24"/>
      <c r="DQ78" s="37"/>
      <c r="DR78" s="32"/>
      <c r="DS78" s="32"/>
      <c r="DT78" s="34"/>
      <c r="DU78" s="19"/>
      <c r="EI78" s="46"/>
      <c r="EJ78" s="32"/>
      <c r="EK78" s="34"/>
      <c r="EL78"/>
      <c r="EM78" s="19"/>
      <c r="FJ78" s="24"/>
    </row>
    <row r="79" spans="2:166" x14ac:dyDescent="0.25">
      <c r="C79" s="22"/>
      <c r="S79" s="12"/>
      <c r="T79" s="12"/>
      <c r="U79" s="12"/>
      <c r="W79" s="24"/>
      <c r="X79" s="24"/>
      <c r="Y79" s="24"/>
      <c r="AB79" s="187" t="s">
        <v>896</v>
      </c>
      <c r="AL79" s="28"/>
      <c r="BA79" s="12" t="s">
        <v>1207</v>
      </c>
      <c r="BC79" s="13" t="str">
        <f t="shared" si="114"/>
        <v>Classic Maple 5.5x14 8 Lug Snare</v>
      </c>
      <c r="BD79" s="44" t="s">
        <v>1207</v>
      </c>
      <c r="BE79" s="96"/>
      <c r="BG79" s="13" t="str">
        <f t="shared" si="111"/>
        <v>Legacy Maple 6.5x14 8 Lug Snare</v>
      </c>
      <c r="BH79" s="12" t="s">
        <v>90</v>
      </c>
      <c r="BI79" s="31"/>
      <c r="BK79" s="13" t="str">
        <f t="shared" si="112"/>
        <v>Legacy Mahogany 6.5x14 8 Lug Snare</v>
      </c>
      <c r="BL79" s="12" t="s">
        <v>90</v>
      </c>
      <c r="BM79" s="31"/>
      <c r="BO79" s="13" t="str">
        <f t="shared" si="113"/>
        <v>Legacy Exotic 6.5x14 8 Lug Snare</v>
      </c>
      <c r="BP79" s="12" t="s">
        <v>90</v>
      </c>
      <c r="BR79" s="13" t="str">
        <f t="shared" si="104"/>
        <v>Classic Oak 5.5x14 8 Lug Snare</v>
      </c>
      <c r="BS79" s="44" t="s">
        <v>1207</v>
      </c>
      <c r="BT79" s="238"/>
      <c r="BU79" s="239" t="s">
        <v>89</v>
      </c>
      <c r="BV79" s="240" t="s">
        <v>681</v>
      </c>
      <c r="BW79" s="241">
        <f t="shared" si="105"/>
        <v>790</v>
      </c>
      <c r="BX79" s="241">
        <f t="shared" si="105"/>
        <v>1022</v>
      </c>
      <c r="BY79" s="241">
        <f t="shared" si="105"/>
        <v>1022</v>
      </c>
      <c r="BZ79" s="241">
        <f t="shared" si="105"/>
        <v>1167</v>
      </c>
      <c r="CA79" s="241">
        <f t="shared" si="105"/>
        <v>629</v>
      </c>
      <c r="CB79" s="241"/>
      <c r="CC79" s="249" t="s">
        <v>373</v>
      </c>
      <c r="CD79" s="241"/>
      <c r="CE79" s="241"/>
      <c r="CF79" s="239" t="str">
        <f>BU79</f>
        <v>5x14 8 Lug Snare</v>
      </c>
      <c r="CG79" s="130" t="s">
        <v>175</v>
      </c>
      <c r="CH79" s="130" t="s">
        <v>233</v>
      </c>
      <c r="CI79" s="130" t="s">
        <v>291</v>
      </c>
      <c r="CJ79" s="130" t="s">
        <v>349</v>
      </c>
      <c r="CK79" s="113" t="s">
        <v>935</v>
      </c>
      <c r="CP79" s="126" t="s">
        <v>1113</v>
      </c>
      <c r="CQ79" s="35" t="s">
        <v>357</v>
      </c>
      <c r="CR79" s="19" t="s">
        <v>356</v>
      </c>
      <c r="CS79" s="35" t="s">
        <v>1139</v>
      </c>
      <c r="CT79" s="64"/>
      <c r="CU79" s="64"/>
      <c r="CW79" s="19"/>
      <c r="CX79" s="19"/>
      <c r="DD79" s="91"/>
      <c r="DI79" s="43"/>
      <c r="DM79" s="24"/>
      <c r="DQ79" s="33"/>
      <c r="DR79" s="32"/>
      <c r="DS79" s="32"/>
      <c r="DT79" s="34"/>
      <c r="DU79" s="19"/>
      <c r="EI79" s="46"/>
      <c r="EJ79" s="32"/>
      <c r="EK79" s="34"/>
      <c r="EL79"/>
      <c r="EM79" s="19"/>
      <c r="FF79" t="s">
        <v>1136</v>
      </c>
      <c r="FI79">
        <v>0</v>
      </c>
      <c r="FJ79" s="24" t="s">
        <v>386</v>
      </c>
    </row>
    <row r="80" spans="2:166" x14ac:dyDescent="0.25">
      <c r="C80" s="22"/>
      <c r="S80" s="12"/>
      <c r="T80" s="12"/>
      <c r="U80" s="12"/>
      <c r="W80" s="24"/>
      <c r="X80" s="24"/>
      <c r="Y80" s="24"/>
      <c r="AA80" s="25" t="s">
        <v>5</v>
      </c>
      <c r="AB80" t="s">
        <v>23</v>
      </c>
      <c r="AE80" s="25"/>
      <c r="AF80" s="24"/>
      <c r="AL80" s="28"/>
      <c r="AY80" s="107"/>
      <c r="AZ80" s="107"/>
      <c r="BA80" s="12" t="s">
        <v>90</v>
      </c>
      <c r="BC80" s="13" t="str">
        <f t="shared" si="114"/>
        <v>Classic Maple 6.5x14 8 Lug Snare</v>
      </c>
      <c r="BD80" s="12" t="s">
        <v>90</v>
      </c>
      <c r="BM80" s="31"/>
      <c r="BR80" s="13" t="str">
        <f>BS$1&amp;" "&amp;BS80</f>
        <v>Classic Oak 6.5x14 8 Lug Snare</v>
      </c>
      <c r="BS80" s="12" t="s">
        <v>90</v>
      </c>
      <c r="BT80" s="238"/>
      <c r="BU80" s="239" t="s">
        <v>1207</v>
      </c>
      <c r="BV80" s="240" t="s">
        <v>1209</v>
      </c>
      <c r="BW80" s="241">
        <f t="shared" si="105"/>
        <v>804</v>
      </c>
      <c r="BX80" s="241">
        <f t="shared" si="105"/>
        <v>1048</v>
      </c>
      <c r="BY80" s="241">
        <f t="shared" si="105"/>
        <v>1048</v>
      </c>
      <c r="BZ80" s="241">
        <f t="shared" si="105"/>
        <v>1193</v>
      </c>
      <c r="CA80" s="241">
        <f t="shared" si="105"/>
        <v>643</v>
      </c>
      <c r="CB80" s="241"/>
      <c r="CC80" s="252" t="s">
        <v>383</v>
      </c>
      <c r="CE80" s="241"/>
      <c r="CF80" s="44" t="s">
        <v>1207</v>
      </c>
      <c r="CG80" s="26" t="s">
        <v>1215</v>
      </c>
      <c r="CH80" s="26" t="s">
        <v>1216</v>
      </c>
      <c r="CI80" s="26" t="s">
        <v>1218</v>
      </c>
      <c r="CJ80" s="26" t="s">
        <v>1217</v>
      </c>
      <c r="CK80" s="26" t="s">
        <v>1219</v>
      </c>
      <c r="CO80" s="285"/>
      <c r="CP80" s="126" t="s">
        <v>1114</v>
      </c>
      <c r="CQ80" s="35" t="s">
        <v>357</v>
      </c>
      <c r="CR80" s="35" t="s">
        <v>356</v>
      </c>
      <c r="CS80" s="35" t="s">
        <v>1139</v>
      </c>
      <c r="CT80" s="64" t="s">
        <v>834</v>
      </c>
      <c r="CU80" s="64" t="s">
        <v>359</v>
      </c>
      <c r="CW80" s="64"/>
      <c r="CX80" s="64"/>
      <c r="DH80" s="29" t="s">
        <v>575</v>
      </c>
      <c r="DI80" s="43" t="s">
        <v>1140</v>
      </c>
      <c r="DM80" s="24"/>
      <c r="DQ80" s="33"/>
      <c r="DR80" s="32"/>
      <c r="DS80" s="32"/>
      <c r="DT80" s="32"/>
      <c r="DU80" s="19"/>
      <c r="EI80" s="46"/>
      <c r="EJ80" s="32"/>
      <c r="EK80" s="34"/>
      <c r="EL80"/>
      <c r="EM80" s="19"/>
      <c r="FJ80" s="24"/>
    </row>
    <row r="81" spans="2:166" x14ac:dyDescent="0.25">
      <c r="C81" s="22"/>
      <c r="X81" s="25"/>
      <c r="AA81" s="25" t="s">
        <v>5</v>
      </c>
      <c r="AB81" t="s">
        <v>902</v>
      </c>
      <c r="AE81" s="25"/>
      <c r="AF81" s="24"/>
      <c r="AL81" s="28"/>
      <c r="AY81" s="107"/>
      <c r="AZ81" s="107"/>
      <c r="BE81" s="12"/>
      <c r="BT81" s="238"/>
      <c r="BU81" s="239" t="s">
        <v>90</v>
      </c>
      <c r="BV81" s="240" t="s">
        <v>682</v>
      </c>
      <c r="BW81" s="241">
        <f t="shared" si="105"/>
        <v>833</v>
      </c>
      <c r="BX81" s="241">
        <f t="shared" si="105"/>
        <v>1101</v>
      </c>
      <c r="BY81" s="241">
        <f t="shared" si="105"/>
        <v>1101</v>
      </c>
      <c r="BZ81" s="241">
        <f t="shared" si="105"/>
        <v>1246</v>
      </c>
      <c r="CA81" s="241">
        <f t="shared" si="105"/>
        <v>671</v>
      </c>
      <c r="CB81" s="241"/>
      <c r="CC81" s="254" t="s">
        <v>1137</v>
      </c>
      <c r="CD81" s="235">
        <v>0</v>
      </c>
      <c r="CE81" s="241"/>
      <c r="CF81" s="239" t="str">
        <f>BU81</f>
        <v>6.5x14 8 Lug Snare</v>
      </c>
      <c r="CG81" s="130" t="s">
        <v>176</v>
      </c>
      <c r="CH81" s="130" t="s">
        <v>234</v>
      </c>
      <c r="CI81" s="130" t="s">
        <v>292</v>
      </c>
      <c r="CJ81" s="130" t="s">
        <v>350</v>
      </c>
      <c r="CK81" s="113" t="s">
        <v>936</v>
      </c>
      <c r="CO81" s="285"/>
      <c r="CP81" s="126" t="s">
        <v>1115</v>
      </c>
      <c r="CQ81" s="35" t="s">
        <v>357</v>
      </c>
      <c r="CR81" s="133" t="s">
        <v>356</v>
      </c>
      <c r="CS81" s="64" t="s">
        <v>1139</v>
      </c>
      <c r="CT81" s="64" t="s">
        <v>835</v>
      </c>
      <c r="CU81" s="64" t="s">
        <v>358</v>
      </c>
      <c r="CW81" s="19"/>
      <c r="CX81" s="19"/>
      <c r="DH81" s="29" t="s">
        <v>1136</v>
      </c>
      <c r="DI81" s="43"/>
      <c r="DM81" s="24"/>
      <c r="DQ81" s="36"/>
      <c r="DR81" s="32"/>
      <c r="DS81" s="32"/>
      <c r="DT81" s="32"/>
      <c r="DU81" s="19"/>
      <c r="EI81" s="46"/>
      <c r="EJ81" s="32"/>
      <c r="EK81" s="34"/>
      <c r="EL81"/>
      <c r="EM81" s="19"/>
      <c r="FJ81" s="24"/>
    </row>
    <row r="82" spans="2:166" x14ac:dyDescent="0.25">
      <c r="C82" s="27"/>
      <c r="X82" s="25"/>
      <c r="AA82" s="25" t="s">
        <v>5</v>
      </c>
      <c r="AB82" t="s">
        <v>969</v>
      </c>
      <c r="AE82" s="25"/>
      <c r="AF82" s="24"/>
      <c r="AL82" s="28"/>
      <c r="AY82" s="107"/>
      <c r="AZ82" s="107"/>
      <c r="BE82" s="12"/>
      <c r="CB82" s="241"/>
      <c r="CC82" s="254" t="str">
        <f>IF(DM96=1, "P1610D CHROME Ludwig Casting", "P1610D Ludwig Bass Casting")</f>
        <v>P1610D Ludwig Bass Casting</v>
      </c>
      <c r="CD82" s="314">
        <v>60</v>
      </c>
      <c r="CE82" s="241"/>
      <c r="CO82" s="285"/>
      <c r="CP82" s="127" t="s">
        <v>837</v>
      </c>
      <c r="CQ82" s="19" t="s">
        <v>357</v>
      </c>
      <c r="CR82" s="19" t="s">
        <v>835</v>
      </c>
      <c r="CS82" s="64" t="s">
        <v>358</v>
      </c>
      <c r="CT82" s="64"/>
      <c r="CU82" s="19"/>
      <c r="CW82" s="19"/>
      <c r="CX82" s="19"/>
      <c r="DH82" s="29" t="s">
        <v>374</v>
      </c>
      <c r="DI82" s="43"/>
      <c r="DM82" s="24"/>
      <c r="DQ82" s="36"/>
      <c r="DR82" s="32"/>
      <c r="DS82" s="32"/>
      <c r="DT82" s="32"/>
      <c r="DU82" s="19"/>
      <c r="EI82" s="46"/>
      <c r="EJ82" s="32"/>
      <c r="EK82" s="34"/>
      <c r="EL82" s="35"/>
      <c r="EM82" s="19"/>
      <c r="FJ82" s="24"/>
    </row>
    <row r="83" spans="2:166" ht="15.75" thickBot="1" x14ac:dyDescent="0.3">
      <c r="C83" s="27"/>
      <c r="AA83" s="25"/>
      <c r="AB83" s="187" t="s">
        <v>897</v>
      </c>
      <c r="AE83" s="25"/>
      <c r="AF83" s="24"/>
      <c r="AL83" s="28"/>
      <c r="AY83" s="107"/>
      <c r="AZ83" s="107"/>
      <c r="BD83" s="31" t="s">
        <v>954</v>
      </c>
      <c r="BU83" s="253" t="s">
        <v>1210</v>
      </c>
      <c r="CB83" s="241"/>
      <c r="CC83" s="254" t="str">
        <f>IF(DM96=1, "LR2981MT CHROME Rocker Single",  "LR2981MT Rocker Single Tom Holder")</f>
        <v>LR2981MT Rocker Single Tom Holder</v>
      </c>
      <c r="CD83" s="314">
        <v>140</v>
      </c>
      <c r="CE83" s="241"/>
      <c r="CO83" s="285"/>
      <c r="CP83" s="126" t="s">
        <v>1116</v>
      </c>
      <c r="CQ83" s="35" t="s">
        <v>1122</v>
      </c>
      <c r="CR83" s="35" t="s">
        <v>360</v>
      </c>
      <c r="CS83" s="287"/>
      <c r="CT83" s="287"/>
      <c r="CU83" s="287"/>
      <c r="CV83" s="107"/>
      <c r="CW83" s="19"/>
      <c r="CX83" s="19"/>
      <c r="DH83" s="29" t="s">
        <v>1134</v>
      </c>
      <c r="DI83" s="43"/>
      <c r="DM83" s="24"/>
      <c r="DQ83" s="36"/>
      <c r="DR83" s="32"/>
      <c r="DS83" s="32"/>
      <c r="DT83" s="32"/>
      <c r="DU83" s="19"/>
      <c r="EI83" s="46"/>
      <c r="EJ83" s="32"/>
      <c r="EK83" s="34"/>
      <c r="EL83" s="35"/>
      <c r="EM83" s="19"/>
      <c r="FJ83" s="24"/>
    </row>
    <row r="84" spans="2:166" ht="15.75" thickBot="1" x14ac:dyDescent="0.3">
      <c r="C84" s="27"/>
      <c r="U84" s="43"/>
      <c r="V84" s="43"/>
      <c r="AA84" s="25" t="s">
        <v>6</v>
      </c>
      <c r="AB84" t="s">
        <v>1131</v>
      </c>
      <c r="AE84" s="25"/>
      <c r="AF84" s="24"/>
      <c r="AL84" s="28"/>
      <c r="BD84" s="136" t="str">
        <f>IF(BC99&gt;0,"Triple_Flange","PDC")</f>
        <v>PDC</v>
      </c>
      <c r="BU84" s="253" t="s">
        <v>1211</v>
      </c>
      <c r="CB84" s="241"/>
      <c r="CC84" s="254" t="str">
        <f>IF(DM96=1, "LR2980MT CHROME Rocker Double", "LR2980MT Rocker Double Tom Holder")</f>
        <v>LR2980MT Rocker Double Tom Holder</v>
      </c>
      <c r="CD84" s="314">
        <v>180</v>
      </c>
      <c r="CO84" s="285"/>
      <c r="CP84" s="126" t="s">
        <v>1117</v>
      </c>
      <c r="CQ84" s="35" t="s">
        <v>835</v>
      </c>
      <c r="CR84" s="35" t="s">
        <v>358</v>
      </c>
      <c r="CS84" s="287" t="s">
        <v>360</v>
      </c>
      <c r="CT84" s="287"/>
      <c r="CU84" s="35"/>
      <c r="CV84" s="107"/>
      <c r="DH84" s="29" t="s">
        <v>377</v>
      </c>
      <c r="DI84" s="43"/>
      <c r="DQ84" s="36"/>
      <c r="DR84" s="32"/>
      <c r="DS84" s="32"/>
      <c r="DT84" s="32"/>
      <c r="DU84" s="19"/>
      <c r="EI84" s="46"/>
      <c r="EJ84" s="34"/>
      <c r="EK84" s="34"/>
      <c r="EL84" s="32"/>
      <c r="EM84" s="19"/>
      <c r="FJ84" s="24"/>
    </row>
    <row r="85" spans="2:166" x14ac:dyDescent="0.25">
      <c r="C85" s="27"/>
      <c r="AA85" s="25" t="s">
        <v>6</v>
      </c>
      <c r="AB85" t="s">
        <v>902</v>
      </c>
      <c r="AE85" s="25"/>
      <c r="AF85" s="24"/>
      <c r="AL85" s="28"/>
      <c r="BC85" t="s">
        <v>849</v>
      </c>
      <c r="BV85" s="234" t="s">
        <v>1212</v>
      </c>
      <c r="BW85" s="234" t="s">
        <v>930</v>
      </c>
      <c r="BX85" s="234" t="s">
        <v>741</v>
      </c>
      <c r="BY85" s="234" t="s">
        <v>487</v>
      </c>
      <c r="BZ85" s="234" t="s">
        <v>742</v>
      </c>
      <c r="CA85" s="234" t="s">
        <v>743</v>
      </c>
      <c r="CB85" s="241"/>
      <c r="CC85" s="254" t="str">
        <f>IF(DM94=1, "LAP2984MT CHROME Atlas Double", "LAP2984MT Atlas Double")</f>
        <v>LAP2984MT Atlas Double</v>
      </c>
      <c r="CD85" s="314">
        <v>160</v>
      </c>
      <c r="CO85" s="285"/>
      <c r="CP85" s="126" t="s">
        <v>1118</v>
      </c>
      <c r="CQ85" s="35" t="s">
        <v>357</v>
      </c>
      <c r="CR85" s="35" t="s">
        <v>359</v>
      </c>
      <c r="CS85" s="287" t="s">
        <v>835</v>
      </c>
      <c r="CT85" s="287" t="s">
        <v>358</v>
      </c>
      <c r="CU85" s="35" t="s">
        <v>360</v>
      </c>
      <c r="CV85" s="107"/>
      <c r="DH85" s="29" t="s">
        <v>1133</v>
      </c>
      <c r="DI85" s="43"/>
      <c r="DQ85" s="33"/>
      <c r="DR85" s="32"/>
      <c r="DS85" s="32"/>
      <c r="DT85" s="32"/>
      <c r="DU85" s="19"/>
      <c r="EI85" s="46"/>
      <c r="EJ85" s="34"/>
      <c r="EK85" s="34"/>
      <c r="EL85" s="32"/>
      <c r="EM85" s="19"/>
      <c r="FJ85" s="24"/>
    </row>
    <row r="86" spans="2:166" x14ac:dyDescent="0.25">
      <c r="C86" s="27"/>
      <c r="AA86" s="25" t="s">
        <v>6</v>
      </c>
      <c r="AB86" t="s">
        <v>23</v>
      </c>
      <c r="AL86" s="28"/>
      <c r="BC86" s="64">
        <f t="shared" ref="BC86:BC91" si="115">IF(ISERROR(MATCH( BD86, $C$8:$C$20,0)=TRUE),0,1)</f>
        <v>0</v>
      </c>
      <c r="BD86" s="12" t="s">
        <v>83</v>
      </c>
      <c r="BE86" t="s">
        <v>903</v>
      </c>
      <c r="BV86" s="255" t="str">
        <f t="shared" ref="BV86:BV149" si="116">CONCATENATE(BW86,".",BX86,".",BY86,".",BZ86)</f>
        <v>D.L8.12_18B.1200102</v>
      </c>
      <c r="BW86" s="32" t="s">
        <v>502</v>
      </c>
      <c r="BX86" s="32" t="s">
        <v>730</v>
      </c>
      <c r="BY86" s="32" t="s">
        <v>683</v>
      </c>
      <c r="BZ86" s="32">
        <v>1200102</v>
      </c>
      <c r="CA86" s="32">
        <v>1602</v>
      </c>
      <c r="CC86" s="254" t="str">
        <f>IF(DM94=1, "LAP2985MT CHROME Atlas Single",  "LAP2985MT Atlas Single")</f>
        <v>LAP2985MT Atlas Single</v>
      </c>
      <c r="CD86" s="314">
        <v>130</v>
      </c>
      <c r="CP86" s="126" t="s">
        <v>1119</v>
      </c>
      <c r="CQ86" s="35" t="s">
        <v>357</v>
      </c>
      <c r="CR86" s="35" t="s">
        <v>835</v>
      </c>
      <c r="CS86" s="287" t="s">
        <v>358</v>
      </c>
      <c r="CT86" s="287" t="s">
        <v>360</v>
      </c>
      <c r="CU86" s="35"/>
      <c r="CV86" s="107"/>
      <c r="DI86" s="43"/>
      <c r="DQ86" s="33"/>
      <c r="DR86" s="32"/>
      <c r="DS86" s="32"/>
      <c r="DT86" s="32"/>
      <c r="DU86" s="19"/>
      <c r="EI86" s="46"/>
      <c r="EJ86" s="34"/>
      <c r="EK86" s="34"/>
      <c r="EL86" s="32"/>
      <c r="EM86" s="19"/>
      <c r="FJ86" s="24"/>
    </row>
    <row r="87" spans="2:166" x14ac:dyDescent="0.25">
      <c r="B87" s="14"/>
      <c r="C87" s="27"/>
      <c r="AA87" s="25"/>
      <c r="AB87" s="187" t="s">
        <v>898</v>
      </c>
      <c r="AE87" s="25"/>
      <c r="AF87" s="24"/>
      <c r="AL87" s="28"/>
      <c r="BC87" s="64">
        <f t="shared" si="115"/>
        <v>0</v>
      </c>
      <c r="BD87" s="12" t="s">
        <v>84</v>
      </c>
      <c r="BE87" t="s">
        <v>904</v>
      </c>
      <c r="BV87" s="255" t="str">
        <f t="shared" si="116"/>
        <v>D.L8.12_20B.1200102</v>
      </c>
      <c r="BW87" s="32" t="s">
        <v>502</v>
      </c>
      <c r="BX87" s="32" t="s">
        <v>730</v>
      </c>
      <c r="BY87" s="32" t="s">
        <v>686</v>
      </c>
      <c r="BZ87" s="32">
        <v>1200102</v>
      </c>
      <c r="CA87" s="32">
        <v>1648</v>
      </c>
      <c r="CC87" s="254" t="e">
        <f>IF(#REF!=1, "LAC2983MT CHROME Atlas Arch",  "LAC2983MT Atlas Arch Single")</f>
        <v>#REF!</v>
      </c>
      <c r="CD87" s="314">
        <v>190</v>
      </c>
      <c r="CP87" s="126" t="s">
        <v>1120</v>
      </c>
      <c r="CQ87" s="35" t="s">
        <v>357</v>
      </c>
      <c r="CR87" s="35" t="s">
        <v>835</v>
      </c>
      <c r="DI87" s="43"/>
      <c r="DQ87" s="33"/>
      <c r="DR87" s="32"/>
      <c r="DS87" s="32"/>
      <c r="DT87" s="32"/>
      <c r="DU87" s="19"/>
      <c r="EI87" s="46"/>
      <c r="EJ87" s="34"/>
      <c r="EK87" s="34"/>
      <c r="EL87" s="32"/>
      <c r="EM87" s="19"/>
      <c r="FJ87" s="24"/>
    </row>
    <row r="88" spans="2:166" x14ac:dyDescent="0.25">
      <c r="C88" s="27"/>
      <c r="AA88" s="25" t="s">
        <v>7</v>
      </c>
      <c r="AB88" t="s">
        <v>1131</v>
      </c>
      <c r="AE88" s="25"/>
      <c r="AF88" s="24"/>
      <c r="AL88" s="28"/>
      <c r="BC88" s="64">
        <f t="shared" si="115"/>
        <v>0</v>
      </c>
      <c r="BD88" s="12" t="s">
        <v>85</v>
      </c>
      <c r="BE88" t="s">
        <v>905</v>
      </c>
      <c r="BV88" s="255" t="str">
        <f t="shared" si="116"/>
        <v>D.L8.12_22B.1200102</v>
      </c>
      <c r="BW88" s="32" t="s">
        <v>502</v>
      </c>
      <c r="BX88" s="32" t="s">
        <v>730</v>
      </c>
      <c r="BY88" s="32" t="s">
        <v>690</v>
      </c>
      <c r="BZ88" s="32">
        <v>1200102</v>
      </c>
      <c r="CA88" s="32">
        <v>1728</v>
      </c>
      <c r="CC88" s="254" t="e">
        <f>IF(#REF!=1, "P7184A CHROME Elite Casting", "P7184A Elite Bass Casting")</f>
        <v>#REF!</v>
      </c>
      <c r="CD88" s="235" t="s">
        <v>1058</v>
      </c>
      <c r="CE88" s="257"/>
      <c r="CO88" s="285"/>
      <c r="CP88" s="126" t="s">
        <v>1121</v>
      </c>
      <c r="CQ88" s="35" t="s">
        <v>357</v>
      </c>
      <c r="CR88" s="35" t="s">
        <v>359</v>
      </c>
      <c r="CS88" s="287" t="s">
        <v>835</v>
      </c>
      <c r="DH88" s="29"/>
      <c r="DI88" s="43"/>
      <c r="DQ88" s="33"/>
      <c r="DR88" s="32"/>
      <c r="DS88" s="32"/>
      <c r="DT88" s="32"/>
      <c r="DU88" s="19"/>
      <c r="EI88" s="46"/>
      <c r="EJ88" s="34"/>
      <c r="EK88" s="34"/>
      <c r="EL88" s="32"/>
      <c r="EM88" s="19"/>
    </row>
    <row r="89" spans="2:166" x14ac:dyDescent="0.25">
      <c r="C89" s="27"/>
      <c r="AA89" s="25" t="s">
        <v>7</v>
      </c>
      <c r="AB89" t="s">
        <v>902</v>
      </c>
      <c r="AE89" s="25"/>
      <c r="AF89" s="24"/>
      <c r="AL89" s="28"/>
      <c r="BC89" s="64">
        <f t="shared" si="115"/>
        <v>0</v>
      </c>
      <c r="BD89" s="12" t="s">
        <v>744</v>
      </c>
      <c r="BV89" s="255" t="str">
        <f t="shared" si="116"/>
        <v>D.L8.12_24B.1200102</v>
      </c>
      <c r="BW89" s="32" t="s">
        <v>502</v>
      </c>
      <c r="BX89" s="32" t="s">
        <v>730</v>
      </c>
      <c r="BY89" s="32" t="s">
        <v>695</v>
      </c>
      <c r="BZ89" s="32">
        <v>1200102</v>
      </c>
      <c r="CA89" s="32">
        <v>1794</v>
      </c>
      <c r="CC89" s="254" t="e">
        <f>IF(#REF!=1, "LR2991MT CHROME Elite Single", "LR2991MT Elite Single Tom Holder")</f>
        <v>#REF!</v>
      </c>
      <c r="CD89" s="235" t="s">
        <v>1058</v>
      </c>
      <c r="CE89" s="257"/>
      <c r="CO89" s="285"/>
      <c r="CP89" s="93"/>
      <c r="DI89" s="43"/>
      <c r="DQ89" s="33"/>
      <c r="DR89" s="32"/>
      <c r="DS89" s="32"/>
      <c r="DT89" s="32"/>
      <c r="DU89" s="19"/>
      <c r="EI89" s="46"/>
      <c r="EJ89" s="34"/>
      <c r="EK89" s="34"/>
      <c r="EL89" s="32"/>
      <c r="EM89" s="19"/>
    </row>
    <row r="90" spans="2:166" x14ac:dyDescent="0.25">
      <c r="C90" s="27"/>
      <c r="AA90" s="25" t="s">
        <v>7</v>
      </c>
      <c r="AB90" t="s">
        <v>23</v>
      </c>
      <c r="AI90" s="108"/>
      <c r="AJ90" s="24"/>
      <c r="AK90" s="24"/>
      <c r="BC90" s="64">
        <f t="shared" si="115"/>
        <v>0</v>
      </c>
      <c r="BD90" s="12" t="s">
        <v>86</v>
      </c>
      <c r="BV90" s="255" t="str">
        <f t="shared" si="116"/>
        <v>D.L8.12_26B.1200102</v>
      </c>
      <c r="BW90" s="32" t="s">
        <v>502</v>
      </c>
      <c r="BX90" s="32" t="s">
        <v>730</v>
      </c>
      <c r="BY90" s="32" t="s">
        <v>700</v>
      </c>
      <c r="BZ90" s="32">
        <v>1200102</v>
      </c>
      <c r="CA90" s="32">
        <v>1809</v>
      </c>
      <c r="CB90" s="257"/>
      <c r="CC90" s="254" t="e">
        <f>IF(#REF!=1, "LR2992MT CHROME Classic Double",  "LR2992MT Classic Double Tom Holder")</f>
        <v>#REF!</v>
      </c>
      <c r="CD90" s="235" t="s">
        <v>1058</v>
      </c>
      <c r="CE90" s="257"/>
      <c r="DH90" s="29" t="s">
        <v>576</v>
      </c>
      <c r="DI90" s="43" t="s">
        <v>578</v>
      </c>
      <c r="DQ90" s="33"/>
      <c r="DR90" s="32"/>
      <c r="DS90" s="32"/>
      <c r="DT90" s="32"/>
      <c r="DU90" s="19"/>
      <c r="EI90" s="46"/>
      <c r="EJ90" s="34"/>
      <c r="EK90" s="34"/>
      <c r="EL90" s="32"/>
      <c r="EM90" s="19"/>
    </row>
    <row r="91" spans="2:166" x14ac:dyDescent="0.25">
      <c r="C91" s="27"/>
      <c r="AA91" s="25"/>
      <c r="AB91" s="187" t="s">
        <v>899</v>
      </c>
      <c r="AE91" s="25"/>
      <c r="AF91" s="24"/>
      <c r="AI91" s="41"/>
      <c r="AJ91" s="24"/>
      <c r="AK91" s="24"/>
      <c r="BC91" s="64">
        <f t="shared" si="115"/>
        <v>0</v>
      </c>
      <c r="BD91" s="12" t="s">
        <v>1206</v>
      </c>
      <c r="BV91" s="255" t="str">
        <f t="shared" si="116"/>
        <v>D.L8.14_18B.1200102</v>
      </c>
      <c r="BW91" s="32" t="s">
        <v>502</v>
      </c>
      <c r="BX91" s="32" t="s">
        <v>730</v>
      </c>
      <c r="BY91" s="32" t="s">
        <v>684</v>
      </c>
      <c r="BZ91" s="32">
        <v>1200102</v>
      </c>
      <c r="CA91" s="32">
        <v>1602</v>
      </c>
      <c r="CB91" s="257"/>
      <c r="CC91" s="228" t="e">
        <f>IF(#REF!=1, "PM0062 CHROME Atlas Bracket",  "PM0062 Atlas Bass Casting")</f>
        <v>#REF!</v>
      </c>
      <c r="CD91" s="235" t="s">
        <v>1058</v>
      </c>
      <c r="CE91" s="257"/>
      <c r="CO91" s="285"/>
      <c r="CP91" s="187"/>
      <c r="DH91" s="29" t="s">
        <v>1136</v>
      </c>
      <c r="DI91" s="43"/>
      <c r="DQ91" s="33"/>
      <c r="DR91" s="32"/>
      <c r="DS91" s="32"/>
      <c r="DT91" s="32"/>
      <c r="DU91" s="19"/>
      <c r="EI91" s="46"/>
      <c r="EJ91" s="34"/>
      <c r="EK91" s="34"/>
      <c r="EL91" s="32"/>
      <c r="EM91" s="19"/>
    </row>
    <row r="92" spans="2:166" x14ac:dyDescent="0.25">
      <c r="C92" s="27"/>
      <c r="AA92" s="25" t="s">
        <v>8</v>
      </c>
      <c r="AB92" t="s">
        <v>1131</v>
      </c>
      <c r="AE92" s="25"/>
      <c r="AF92" s="24"/>
      <c r="AI92" s="41"/>
      <c r="AJ92" s="24"/>
      <c r="AK92" s="24"/>
      <c r="BC92" s="64">
        <f t="shared" ref="BC92:BC97" si="117">IF(ISERROR(MATCH( BD92, $C$8:$C$20,0)=TRUE),0,1)</f>
        <v>0</v>
      </c>
      <c r="BD92" s="12" t="s">
        <v>87</v>
      </c>
      <c r="BV92" s="255" t="str">
        <f t="shared" si="116"/>
        <v>D.L8.14_20B.1200102</v>
      </c>
      <c r="BW92" s="32" t="s">
        <v>502</v>
      </c>
      <c r="BX92" s="32" t="s">
        <v>730</v>
      </c>
      <c r="BY92" s="32" t="s">
        <v>687</v>
      </c>
      <c r="BZ92" s="32">
        <v>1200102</v>
      </c>
      <c r="CA92" s="32">
        <v>1648</v>
      </c>
      <c r="CB92" s="257"/>
      <c r="CC92" s="258"/>
      <c r="CE92" s="257"/>
      <c r="CO92" s="285"/>
      <c r="CP92" s="187"/>
      <c r="DH92" s="29" t="s">
        <v>374</v>
      </c>
      <c r="DI92" s="43"/>
      <c r="DQ92" s="33"/>
      <c r="DR92" s="32"/>
      <c r="DS92" s="32"/>
      <c r="DT92" s="34"/>
      <c r="DU92" s="19"/>
      <c r="EI92" s="46"/>
      <c r="EJ92" s="32"/>
      <c r="EK92" s="34"/>
      <c r="EL92" s="32"/>
      <c r="EM92" s="19"/>
    </row>
    <row r="93" spans="2:166" x14ac:dyDescent="0.25">
      <c r="AA93" s="25" t="s">
        <v>8</v>
      </c>
      <c r="AB93" t="s">
        <v>902</v>
      </c>
      <c r="AE93" s="25"/>
      <c r="AF93" s="24"/>
      <c r="AI93" s="41"/>
      <c r="AJ93" s="24"/>
      <c r="AK93" s="24"/>
      <c r="BC93" s="64">
        <f t="shared" si="117"/>
        <v>0</v>
      </c>
      <c r="BD93" s="12" t="s">
        <v>88</v>
      </c>
      <c r="BV93" s="255" t="str">
        <f t="shared" si="116"/>
        <v>D.L8.14_22B.1200102</v>
      </c>
      <c r="BW93" s="32" t="s">
        <v>502</v>
      </c>
      <c r="BX93" s="32" t="s">
        <v>730</v>
      </c>
      <c r="BY93" s="32" t="s">
        <v>691</v>
      </c>
      <c r="BZ93" s="32">
        <v>1200102</v>
      </c>
      <c r="CA93" s="32">
        <v>1728</v>
      </c>
      <c r="CB93" s="257"/>
      <c r="CC93" s="259" t="s">
        <v>384</v>
      </c>
      <c r="CE93" s="257"/>
      <c r="CO93" s="285"/>
      <c r="CP93" s="187"/>
      <c r="DH93" s="29" t="s">
        <v>1134</v>
      </c>
      <c r="DI93" s="43"/>
      <c r="DQ93" s="33"/>
      <c r="DR93" s="32"/>
      <c r="DS93" s="32"/>
      <c r="DT93" s="34"/>
      <c r="DU93" s="19"/>
      <c r="EI93" s="46"/>
      <c r="EJ93" s="32"/>
      <c r="EK93" s="34"/>
      <c r="EL93" s="32"/>
      <c r="EM93" s="19"/>
    </row>
    <row r="94" spans="2:166" x14ac:dyDescent="0.25">
      <c r="AA94" s="25" t="s">
        <v>8</v>
      </c>
      <c r="AB94" t="s">
        <v>23</v>
      </c>
      <c r="AI94" s="41"/>
      <c r="AJ94" s="24"/>
      <c r="AK94" s="24"/>
      <c r="BC94" s="64">
        <f t="shared" si="117"/>
        <v>0</v>
      </c>
      <c r="BD94" s="12" t="s">
        <v>745</v>
      </c>
      <c r="BV94" s="255" t="str">
        <f t="shared" si="116"/>
        <v>D.L8.14_24B.1200102</v>
      </c>
      <c r="BW94" s="32" t="s">
        <v>502</v>
      </c>
      <c r="BX94" s="32" t="s">
        <v>730</v>
      </c>
      <c r="BY94" s="32" t="s">
        <v>696</v>
      </c>
      <c r="BZ94" s="32">
        <v>1200102</v>
      </c>
      <c r="CA94" s="32">
        <v>1794</v>
      </c>
      <c r="CB94" s="257"/>
      <c r="CC94" s="254" t="s">
        <v>1136</v>
      </c>
      <c r="CD94" s="235">
        <v>0</v>
      </c>
      <c r="CE94" s="257"/>
      <c r="DH94" s="29" t="s">
        <v>376</v>
      </c>
      <c r="DQ94" s="33"/>
      <c r="DR94" s="32"/>
      <c r="DS94" s="32"/>
      <c r="DT94" s="34"/>
      <c r="DU94" s="19"/>
      <c r="EI94" s="46"/>
      <c r="EJ94" s="32"/>
      <c r="EK94" s="34"/>
      <c r="EL94" s="32"/>
      <c r="EM94" s="19"/>
    </row>
    <row r="95" spans="2:166" x14ac:dyDescent="0.25">
      <c r="AA95" s="25"/>
      <c r="AB95" s="187" t="s">
        <v>900</v>
      </c>
      <c r="AE95" s="25"/>
      <c r="AF95" s="24"/>
      <c r="AI95" s="41"/>
      <c r="AJ95" s="24"/>
      <c r="AK95" s="24"/>
      <c r="BC95" s="64">
        <f t="shared" si="117"/>
        <v>0</v>
      </c>
      <c r="BD95" s="12" t="s">
        <v>89</v>
      </c>
      <c r="BV95" s="255" t="str">
        <f t="shared" si="116"/>
        <v>D.L8.14_26B.1200102</v>
      </c>
      <c r="BW95" s="32" t="s">
        <v>502</v>
      </c>
      <c r="BX95" s="32" t="s">
        <v>730</v>
      </c>
      <c r="BY95" s="32" t="s">
        <v>701</v>
      </c>
      <c r="BZ95" s="32">
        <v>1200102</v>
      </c>
      <c r="CA95" s="32">
        <v>1809</v>
      </c>
      <c r="CB95" s="257"/>
      <c r="CC95" s="254" t="s">
        <v>374</v>
      </c>
      <c r="CD95" s="314">
        <v>30</v>
      </c>
      <c r="CE95" s="257"/>
      <c r="DH95" s="29" t="s">
        <v>377</v>
      </c>
      <c r="DQ95" s="33"/>
      <c r="DR95" s="32"/>
      <c r="DS95" s="32"/>
      <c r="DT95" s="34"/>
      <c r="DU95" s="19"/>
      <c r="EI95" s="46"/>
      <c r="EJ95" s="32"/>
      <c r="EK95" s="34"/>
      <c r="EL95" s="32"/>
      <c r="EM95" s="19"/>
    </row>
    <row r="96" spans="2:166" x14ac:dyDescent="0.25">
      <c r="AA96" s="25" t="s">
        <v>657</v>
      </c>
      <c r="AB96" t="s">
        <v>657</v>
      </c>
      <c r="AI96" s="41"/>
      <c r="AJ96" s="24"/>
      <c r="AK96" s="24"/>
      <c r="BC96" s="64">
        <f t="shared" si="117"/>
        <v>0</v>
      </c>
      <c r="BD96" s="12" t="s">
        <v>1207</v>
      </c>
      <c r="BV96" s="255" t="str">
        <f t="shared" si="116"/>
        <v>D.L8.16_18B.1200102</v>
      </c>
      <c r="BW96" s="32" t="s">
        <v>502</v>
      </c>
      <c r="BX96" s="32" t="s">
        <v>730</v>
      </c>
      <c r="BY96" s="32" t="s">
        <v>685</v>
      </c>
      <c r="BZ96" s="32">
        <v>1200102</v>
      </c>
      <c r="CA96" s="32">
        <v>1602</v>
      </c>
      <c r="CB96" s="257"/>
      <c r="CC96" s="254" t="s">
        <v>1134</v>
      </c>
      <c r="CD96" s="314">
        <v>50</v>
      </c>
      <c r="CE96" s="257"/>
      <c r="DH96" s="29" t="s">
        <v>1133</v>
      </c>
      <c r="DQ96" s="33"/>
      <c r="DR96" s="32"/>
      <c r="DS96" s="32"/>
      <c r="DT96" s="32"/>
      <c r="DU96" s="19"/>
      <c r="EI96" s="46"/>
      <c r="EJ96" s="32"/>
      <c r="EK96" s="34"/>
      <c r="EL96" s="32"/>
    </row>
    <row r="97" spans="27:142" x14ac:dyDescent="0.25">
      <c r="AA97" s="25" t="s">
        <v>657</v>
      </c>
      <c r="AB97" t="s">
        <v>902</v>
      </c>
      <c r="AI97" s="41"/>
      <c r="AJ97" s="24"/>
      <c r="AK97" s="24"/>
      <c r="BC97" s="64">
        <f t="shared" si="117"/>
        <v>0</v>
      </c>
      <c r="BD97" s="12" t="s">
        <v>90</v>
      </c>
      <c r="BV97" s="255" t="str">
        <f t="shared" si="116"/>
        <v>D.L8.16_20B.1200102</v>
      </c>
      <c r="BW97" s="32" t="s">
        <v>502</v>
      </c>
      <c r="BX97" s="32" t="s">
        <v>730</v>
      </c>
      <c r="BY97" s="32" t="s">
        <v>688</v>
      </c>
      <c r="BZ97" s="32">
        <v>1200102</v>
      </c>
      <c r="CA97" s="32">
        <v>1648</v>
      </c>
      <c r="CB97" s="257"/>
      <c r="CC97" s="254" t="s">
        <v>376</v>
      </c>
      <c r="CD97" s="314">
        <v>60</v>
      </c>
      <c r="CE97" s="257"/>
      <c r="DQ97" s="36"/>
      <c r="DR97" s="32"/>
      <c r="DS97" s="32"/>
      <c r="DT97" s="32"/>
      <c r="DU97" s="19"/>
      <c r="EI97" s="46"/>
      <c r="EJ97" s="32"/>
      <c r="EK97" s="34"/>
      <c r="EL97" s="32"/>
    </row>
    <row r="98" spans="27:142" x14ac:dyDescent="0.25">
      <c r="AI98" s="41"/>
      <c r="AJ98" s="24"/>
      <c r="AK98" s="24"/>
      <c r="BV98" s="255" t="str">
        <f t="shared" si="116"/>
        <v>D.L8.16_22B.1200102</v>
      </c>
      <c r="BW98" s="32" t="s">
        <v>502</v>
      </c>
      <c r="BX98" s="32" t="s">
        <v>730</v>
      </c>
      <c r="BY98" s="32" t="s">
        <v>692</v>
      </c>
      <c r="BZ98" s="32">
        <v>1200102</v>
      </c>
      <c r="CA98" s="32">
        <v>1728</v>
      </c>
      <c r="CB98" s="257"/>
      <c r="CC98" s="254" t="s">
        <v>377</v>
      </c>
      <c r="CD98" s="314">
        <v>30</v>
      </c>
      <c r="CE98" s="257"/>
      <c r="DE98" s="25"/>
      <c r="DH98" s="29"/>
      <c r="DQ98" s="36"/>
      <c r="DR98" s="32"/>
      <c r="DS98" s="32"/>
      <c r="DT98" s="32"/>
      <c r="DU98" s="19"/>
      <c r="EI98" s="46"/>
      <c r="EJ98" s="32"/>
      <c r="EK98" s="34"/>
      <c r="EL98" s="32"/>
    </row>
    <row r="99" spans="27:142" x14ac:dyDescent="0.25">
      <c r="AI99" s="41"/>
      <c r="AJ99" s="24"/>
      <c r="AK99" s="24"/>
      <c r="BC99" s="42">
        <f>SUM(BC86:BC88)</f>
        <v>0</v>
      </c>
      <c r="BD99" s="107" t="s">
        <v>606</v>
      </c>
      <c r="BV99" s="255" t="str">
        <f t="shared" si="116"/>
        <v>D.L8.16_24B.1200102</v>
      </c>
      <c r="BW99" s="32" t="s">
        <v>502</v>
      </c>
      <c r="BX99" s="32" t="s">
        <v>730</v>
      </c>
      <c r="BY99" s="32" t="s">
        <v>697</v>
      </c>
      <c r="BZ99" s="32">
        <v>1200102</v>
      </c>
      <c r="CA99" s="32">
        <v>1794</v>
      </c>
      <c r="CB99" s="257"/>
      <c r="CC99" s="229" t="s">
        <v>1133</v>
      </c>
      <c r="CD99" s="314">
        <v>50</v>
      </c>
      <c r="CE99" s="257"/>
      <c r="DE99" s="25"/>
      <c r="DH99" s="29"/>
      <c r="DQ99" s="36"/>
      <c r="DR99" s="32"/>
      <c r="DS99" s="32"/>
      <c r="DT99" s="32"/>
      <c r="DU99" s="19"/>
      <c r="EI99" s="46"/>
      <c r="EJ99" s="32"/>
      <c r="EK99" s="34"/>
      <c r="EL99" s="32"/>
    </row>
    <row r="100" spans="27:142" x14ac:dyDescent="0.25">
      <c r="AI100" s="41"/>
      <c r="AJ100" s="24"/>
      <c r="AK100" s="24"/>
      <c r="BC100" s="42">
        <f>SUM(BC89:BC97)</f>
        <v>0</v>
      </c>
      <c r="BD100" s="107" t="s">
        <v>608</v>
      </c>
      <c r="BV100" s="255" t="str">
        <f t="shared" si="116"/>
        <v>D.L8.16_26B.1200102</v>
      </c>
      <c r="BW100" s="32" t="s">
        <v>502</v>
      </c>
      <c r="BX100" s="32" t="s">
        <v>730</v>
      </c>
      <c r="BY100" s="32" t="s">
        <v>702</v>
      </c>
      <c r="BZ100" s="32">
        <v>1200102</v>
      </c>
      <c r="CA100" s="32">
        <v>1809</v>
      </c>
      <c r="CB100" s="257"/>
      <c r="CC100" s="254" t="s">
        <v>375</v>
      </c>
      <c r="CD100" s="235" t="s">
        <v>1058</v>
      </c>
      <c r="CE100" s="257"/>
      <c r="DH100" s="29"/>
      <c r="DQ100" s="36"/>
      <c r="DR100" s="32"/>
      <c r="DS100" s="32"/>
      <c r="DT100" s="32"/>
      <c r="DU100" s="19"/>
      <c r="EI100" s="46"/>
      <c r="EJ100" s="32"/>
      <c r="EK100" s="34"/>
      <c r="EL100" s="32"/>
    </row>
    <row r="101" spans="27:142" x14ac:dyDescent="0.25">
      <c r="BC101" s="114"/>
      <c r="BV101" s="255" t="str">
        <f t="shared" si="116"/>
        <v>D.L8.18_20B.1200102</v>
      </c>
      <c r="BW101" s="32" t="s">
        <v>502</v>
      </c>
      <c r="BX101" s="32" t="s">
        <v>730</v>
      </c>
      <c r="BY101" s="32" t="s">
        <v>689</v>
      </c>
      <c r="BZ101" s="32">
        <v>1200102</v>
      </c>
      <c r="CA101" s="32">
        <v>1703</v>
      </c>
      <c r="CB101" s="257"/>
      <c r="CC101" s="254" t="s">
        <v>1135</v>
      </c>
      <c r="CD101" s="235" t="s">
        <v>1058</v>
      </c>
      <c r="CE101" s="257"/>
      <c r="CO101" s="285"/>
      <c r="DH101" s="29"/>
      <c r="DQ101" s="33"/>
      <c r="DR101" s="32"/>
      <c r="DS101" s="32"/>
      <c r="DT101" s="32"/>
      <c r="DU101" s="19"/>
      <c r="EI101" s="46"/>
      <c r="EJ101" s="32"/>
      <c r="EK101" s="34"/>
      <c r="EL101" s="32"/>
    </row>
    <row r="102" spans="27:142" x14ac:dyDescent="0.25">
      <c r="BV102" s="255" t="str">
        <f t="shared" si="116"/>
        <v>D.L8.18_22B.1200102</v>
      </c>
      <c r="BW102" s="32" t="s">
        <v>502</v>
      </c>
      <c r="BX102" s="32" t="s">
        <v>730</v>
      </c>
      <c r="BY102" s="32" t="s">
        <v>693</v>
      </c>
      <c r="BZ102" s="32">
        <v>1200102</v>
      </c>
      <c r="CA102" s="32">
        <v>1728</v>
      </c>
      <c r="CB102" s="257"/>
      <c r="CC102" s="258"/>
      <c r="CE102" s="257"/>
      <c r="CO102" s="285"/>
      <c r="DH102" s="29"/>
      <c r="DQ102" s="33"/>
      <c r="DR102" s="32"/>
      <c r="DS102" s="32"/>
      <c r="DT102" s="32"/>
      <c r="DU102" s="19"/>
      <c r="EI102" s="46"/>
      <c r="EJ102" s="32"/>
      <c r="EK102" s="34"/>
      <c r="EL102" s="32"/>
    </row>
    <row r="103" spans="27:142" x14ac:dyDescent="0.25">
      <c r="BC103" s="24" t="s">
        <v>956</v>
      </c>
      <c r="BD103" s="12" t="s">
        <v>542</v>
      </c>
      <c r="BV103" s="255" t="str">
        <f t="shared" si="116"/>
        <v>D.L8.18_24B.1200102</v>
      </c>
      <c r="BW103" s="32" t="s">
        <v>502</v>
      </c>
      <c r="BX103" s="32" t="s">
        <v>730</v>
      </c>
      <c r="BY103" s="32" t="s">
        <v>698</v>
      </c>
      <c r="BZ103" s="32">
        <v>1200102</v>
      </c>
      <c r="CA103" s="32">
        <v>1794</v>
      </c>
      <c r="CB103" s="257"/>
      <c r="CC103" s="259" t="s">
        <v>385</v>
      </c>
      <c r="CE103" s="257"/>
      <c r="CO103" s="285"/>
      <c r="CU103" s="326"/>
      <c r="DH103" s="29"/>
      <c r="DQ103" s="33"/>
      <c r="DR103" s="32"/>
      <c r="DS103" s="32"/>
      <c r="DT103" s="32"/>
      <c r="DU103" s="19"/>
      <c r="EI103" s="46"/>
      <c r="EJ103" s="32"/>
      <c r="EK103" s="34"/>
      <c r="EL103" s="32"/>
    </row>
    <row r="104" spans="27:142" x14ac:dyDescent="0.25">
      <c r="AD104" s="43"/>
      <c r="BC104" s="24" t="s">
        <v>955</v>
      </c>
      <c r="BD104" s="12" t="s">
        <v>607</v>
      </c>
      <c r="BV104" s="255" t="str">
        <f t="shared" si="116"/>
        <v>D.L8.20_22B.1200102</v>
      </c>
      <c r="BW104" s="32" t="s">
        <v>502</v>
      </c>
      <c r="BX104" s="32" t="s">
        <v>730</v>
      </c>
      <c r="BY104" s="32" t="s">
        <v>694</v>
      </c>
      <c r="BZ104" s="32">
        <v>1200102</v>
      </c>
      <c r="CA104" s="32">
        <v>1728</v>
      </c>
      <c r="CB104" s="257"/>
      <c r="CC104" s="254" t="s">
        <v>610</v>
      </c>
      <c r="CD104" s="235">
        <v>0</v>
      </c>
      <c r="CE104" s="257"/>
      <c r="CG104" s="14" t="s">
        <v>1199</v>
      </c>
      <c r="CO104" s="285"/>
      <c r="CS104" s="107"/>
      <c r="CT104" s="107"/>
      <c r="CU104" s="80"/>
      <c r="CV104" s="107"/>
      <c r="CW104" s="107"/>
      <c r="CX104" s="107"/>
      <c r="CY104" s="107"/>
      <c r="CZ104" s="107"/>
      <c r="DA104" s="107"/>
      <c r="DB104" s="107"/>
      <c r="DC104" s="107"/>
      <c r="DH104" s="29"/>
      <c r="DQ104" s="33"/>
      <c r="DR104" s="32"/>
      <c r="DS104" s="32"/>
      <c r="DT104" s="32"/>
      <c r="DU104" s="19"/>
      <c r="EI104" s="46"/>
      <c r="EJ104" s="32"/>
      <c r="EK104" s="34"/>
      <c r="EL104" s="32"/>
    </row>
    <row r="105" spans="27:142" x14ac:dyDescent="0.25">
      <c r="BV105" s="255" t="str">
        <f t="shared" si="116"/>
        <v>D.L8.20_24B.1200102</v>
      </c>
      <c r="BW105" s="32" t="s">
        <v>502</v>
      </c>
      <c r="BX105" s="32" t="s">
        <v>730</v>
      </c>
      <c r="BY105" s="32" t="s">
        <v>699</v>
      </c>
      <c r="BZ105" s="32">
        <v>1200102</v>
      </c>
      <c r="CA105" s="32">
        <v>1900</v>
      </c>
      <c r="CB105" s="257"/>
      <c r="CC105" s="254" t="s">
        <v>378</v>
      </c>
      <c r="CD105" s="235">
        <v>0</v>
      </c>
      <c r="CE105" s="257"/>
      <c r="CG105" s="234"/>
      <c r="CH105" s="14" t="s">
        <v>1159</v>
      </c>
      <c r="CK105" s="24" t="s">
        <v>1275</v>
      </c>
      <c r="CL105" s="24" t="s">
        <v>1276</v>
      </c>
      <c r="CM105" s="24" t="s">
        <v>1277</v>
      </c>
      <c r="CO105" s="285"/>
      <c r="CS105" s="107"/>
      <c r="CT105" s="107"/>
      <c r="CU105" s="80"/>
      <c r="CV105" s="107"/>
      <c r="CW105" s="107"/>
      <c r="CX105" s="107"/>
      <c r="CY105" s="107"/>
      <c r="CZ105" s="107"/>
      <c r="DA105" s="328"/>
      <c r="DB105" s="107"/>
      <c r="DC105" s="107"/>
      <c r="DH105" s="29"/>
      <c r="DQ105" s="33"/>
      <c r="DR105" s="32"/>
      <c r="DS105" s="32"/>
      <c r="DT105" s="32"/>
      <c r="DU105" s="19"/>
      <c r="EI105" s="46"/>
      <c r="EJ105" s="32"/>
      <c r="EK105" s="34"/>
      <c r="EL105" s="32"/>
    </row>
    <row r="106" spans="27:142" x14ac:dyDescent="0.25">
      <c r="BV106" s="255" t="str">
        <f t="shared" si="116"/>
        <v>D.L8.12_14F.1200102</v>
      </c>
      <c r="BW106" s="32" t="s">
        <v>502</v>
      </c>
      <c r="BX106" s="32" t="s">
        <v>730</v>
      </c>
      <c r="BY106" s="32" t="s">
        <v>703</v>
      </c>
      <c r="BZ106" s="32">
        <v>1200102</v>
      </c>
      <c r="CA106" s="32">
        <v>977</v>
      </c>
      <c r="CB106" s="257"/>
      <c r="CC106" s="254" t="s">
        <v>379</v>
      </c>
      <c r="CD106" s="235">
        <v>0</v>
      </c>
      <c r="CE106" s="257"/>
      <c r="CG106" s="234"/>
      <c r="CH106" s="26">
        <v>1</v>
      </c>
      <c r="CI106" s="26">
        <f>1*0.5*0.9</f>
        <v>0.45</v>
      </c>
      <c r="CJ106" s="26">
        <f>1*0.5*0.85</f>
        <v>0.42499999999999999</v>
      </c>
      <c r="CK106" s="329">
        <f>1*0.5*0.75*1.25</f>
        <v>0.46875</v>
      </c>
      <c r="CL106" s="26">
        <f>1*0.5*0.75</f>
        <v>0.375</v>
      </c>
      <c r="CM106" s="26">
        <f>1*0.5*0.75</f>
        <v>0.375</v>
      </c>
      <c r="CO106" s="285"/>
      <c r="CS106" s="107"/>
      <c r="CT106" s="107"/>
      <c r="CU106" s="80"/>
      <c r="CV106" s="107"/>
      <c r="CW106" s="107"/>
      <c r="CX106" s="107"/>
      <c r="CY106" s="107"/>
      <c r="CZ106" s="107"/>
      <c r="DA106" s="107"/>
      <c r="DB106" s="107"/>
      <c r="DC106" s="107"/>
      <c r="DH106" s="29"/>
      <c r="DQ106" s="33"/>
      <c r="DR106" s="32"/>
      <c r="DS106" s="32"/>
      <c r="DT106" s="32"/>
      <c r="DU106" s="19"/>
      <c r="EI106" s="46"/>
      <c r="EJ106" s="32"/>
      <c r="EK106" s="34"/>
      <c r="EL106" s="32"/>
    </row>
    <row r="107" spans="27:142" x14ac:dyDescent="0.25">
      <c r="BV107" s="255" t="str">
        <f t="shared" si="116"/>
        <v>D.L8.13_14F.1200102</v>
      </c>
      <c r="BW107" s="32" t="s">
        <v>502</v>
      </c>
      <c r="BX107" s="32" t="s">
        <v>730</v>
      </c>
      <c r="BY107" s="32" t="s">
        <v>704</v>
      </c>
      <c r="BZ107" s="32">
        <v>1200102</v>
      </c>
      <c r="CA107" s="32">
        <v>977</v>
      </c>
      <c r="CB107" s="257"/>
      <c r="CC107" s="254" t="s">
        <v>599</v>
      </c>
      <c r="CD107" s="314">
        <v>30</v>
      </c>
      <c r="CE107" s="257"/>
      <c r="CG107" s="234" t="s">
        <v>1157</v>
      </c>
      <c r="CH107" s="126" t="s">
        <v>1158</v>
      </c>
      <c r="CI107" s="126" t="s">
        <v>1182</v>
      </c>
      <c r="CJ107" s="126" t="s">
        <v>1183</v>
      </c>
      <c r="CK107" s="126" t="s">
        <v>1279</v>
      </c>
      <c r="CL107" s="126" t="s">
        <v>1280</v>
      </c>
      <c r="CM107" s="126" t="s">
        <v>1281</v>
      </c>
      <c r="CO107" s="326"/>
      <c r="CS107" s="107"/>
      <c r="CT107" s="126"/>
      <c r="CU107" s="126"/>
      <c r="CV107" s="126"/>
      <c r="CW107" s="80"/>
      <c r="CX107" s="80"/>
      <c r="CY107" s="80"/>
      <c r="CZ107" s="80"/>
      <c r="DA107" s="126"/>
      <c r="DB107" s="126"/>
      <c r="DC107" s="126"/>
      <c r="DH107" s="29"/>
      <c r="DQ107" s="33"/>
      <c r="DR107" s="32"/>
      <c r="DS107" s="32"/>
      <c r="DT107" s="32"/>
      <c r="DU107" s="19"/>
      <c r="EI107" s="46"/>
      <c r="EJ107" s="32"/>
      <c r="EK107" s="34"/>
      <c r="EL107" s="32"/>
    </row>
    <row r="108" spans="27:142" x14ac:dyDescent="0.25">
      <c r="BV108" s="255" t="str">
        <f t="shared" si="116"/>
        <v>D.L8.13_15F.1200102</v>
      </c>
      <c r="BW108" s="32" t="s">
        <v>502</v>
      </c>
      <c r="BX108" s="32" t="s">
        <v>730</v>
      </c>
      <c r="BY108" s="32" t="s">
        <v>706</v>
      </c>
      <c r="BZ108" s="32">
        <v>1200102</v>
      </c>
      <c r="CA108" s="32">
        <v>1010</v>
      </c>
      <c r="CB108" s="257"/>
      <c r="CC108" s="254" t="s">
        <v>600</v>
      </c>
      <c r="CD108" s="235" t="s">
        <v>1058</v>
      </c>
      <c r="CE108" s="257"/>
      <c r="CF108" s="290" t="str">
        <f t="shared" ref="CF108:CF116" si="118">CONCATENATE(CO108," ",CN108)</f>
        <v>LB L8 1200102</v>
      </c>
      <c r="CG108" s="234" t="s">
        <v>582</v>
      </c>
      <c r="CH108" s="24">
        <v>1400</v>
      </c>
      <c r="CI108" s="326">
        <v>630</v>
      </c>
      <c r="CJ108" s="326">
        <v>595</v>
      </c>
      <c r="CK108" s="326">
        <v>656.25</v>
      </c>
      <c r="CL108" s="326">
        <v>525</v>
      </c>
      <c r="CM108" s="326">
        <v>525</v>
      </c>
      <c r="CN108" s="256">
        <v>1200102</v>
      </c>
      <c r="CO108" s="290" t="s">
        <v>1162</v>
      </c>
      <c r="CS108" s="107"/>
      <c r="CT108" s="80"/>
      <c r="CU108" s="80"/>
      <c r="CV108" s="80"/>
      <c r="CW108" s="80"/>
      <c r="CX108" s="80"/>
      <c r="CY108" s="80"/>
      <c r="CZ108" s="80"/>
      <c r="DA108" s="80"/>
      <c r="DB108" s="80"/>
      <c r="DC108" s="80"/>
      <c r="DH108" s="29"/>
      <c r="DQ108" s="33"/>
      <c r="DR108" s="32"/>
      <c r="DS108" s="32"/>
      <c r="DT108" s="34"/>
      <c r="DU108" s="19"/>
      <c r="EI108" s="46"/>
      <c r="EJ108" s="32"/>
      <c r="EK108" s="34"/>
      <c r="EL108" s="32"/>
    </row>
    <row r="109" spans="27:142" x14ac:dyDescent="0.25">
      <c r="BV109" s="255" t="str">
        <f t="shared" si="116"/>
        <v>D.L8.13_16F.1200102</v>
      </c>
      <c r="BW109" s="32" t="s">
        <v>502</v>
      </c>
      <c r="BX109" s="32" t="s">
        <v>730</v>
      </c>
      <c r="BY109" s="32" t="s">
        <v>708</v>
      </c>
      <c r="BZ109" s="32">
        <v>1200102</v>
      </c>
      <c r="CA109" s="32">
        <v>1010</v>
      </c>
      <c r="CB109" s="257"/>
      <c r="CC109" s="258"/>
      <c r="CE109" s="257"/>
      <c r="CF109" s="290" t="str">
        <f t="shared" si="118"/>
        <v>LF L8 1200102</v>
      </c>
      <c r="CG109" s="234" t="s">
        <v>584</v>
      </c>
      <c r="CH109" s="326">
        <v>688</v>
      </c>
      <c r="CI109" s="326">
        <v>309.60000000000002</v>
      </c>
      <c r="CJ109" s="326">
        <v>292.39999999999998</v>
      </c>
      <c r="CK109" s="326">
        <v>322.5</v>
      </c>
      <c r="CL109" s="326">
        <v>258</v>
      </c>
      <c r="CM109" s="326">
        <v>258</v>
      </c>
      <c r="CN109" s="256">
        <v>1200102</v>
      </c>
      <c r="CO109" s="290" t="s">
        <v>1163</v>
      </c>
      <c r="CS109" s="107"/>
      <c r="CT109" s="80"/>
      <c r="CU109" s="80"/>
      <c r="CV109" s="80"/>
      <c r="CW109" s="80"/>
      <c r="CX109" s="80"/>
      <c r="CY109" s="80"/>
      <c r="CZ109" s="80"/>
      <c r="DA109" s="80"/>
      <c r="DB109" s="80"/>
      <c r="DC109" s="80"/>
      <c r="DH109" s="29"/>
      <c r="DQ109" s="33"/>
      <c r="DR109" s="32"/>
      <c r="DS109" s="32"/>
      <c r="DT109" s="32"/>
      <c r="DU109" s="19"/>
      <c r="EI109" s="46"/>
      <c r="EJ109" s="32"/>
      <c r="EK109" s="34"/>
      <c r="EL109" s="32"/>
    </row>
    <row r="110" spans="27:142" x14ac:dyDescent="0.25">
      <c r="BV110" s="255" t="str">
        <f t="shared" si="116"/>
        <v>D.L8.14_14F.1200102</v>
      </c>
      <c r="BW110" s="32" t="s">
        <v>502</v>
      </c>
      <c r="BX110" s="32" t="s">
        <v>730</v>
      </c>
      <c r="BY110" s="32" t="s">
        <v>705</v>
      </c>
      <c r="BZ110" s="32">
        <v>1200102</v>
      </c>
      <c r="CA110" s="32">
        <v>977</v>
      </c>
      <c r="CB110" s="257"/>
      <c r="CC110" s="259" t="s">
        <v>1059</v>
      </c>
      <c r="CE110" s="257"/>
      <c r="CF110" s="290" t="str">
        <f t="shared" si="118"/>
        <v>LT L8 1200102</v>
      </c>
      <c r="CG110" s="234" t="s">
        <v>583</v>
      </c>
      <c r="CH110" s="326">
        <v>600</v>
      </c>
      <c r="CI110" s="326">
        <v>270</v>
      </c>
      <c r="CJ110" s="326">
        <v>255</v>
      </c>
      <c r="CK110" s="326">
        <v>281.25</v>
      </c>
      <c r="CL110" s="326">
        <v>225</v>
      </c>
      <c r="CM110" s="326">
        <v>225</v>
      </c>
      <c r="CN110" s="256">
        <v>1200102</v>
      </c>
      <c r="CO110" s="290" t="s">
        <v>1164</v>
      </c>
      <c r="CS110" s="107"/>
      <c r="CT110" s="80"/>
      <c r="CU110" s="80"/>
      <c r="CV110" s="80"/>
      <c r="CW110" s="80"/>
      <c r="CX110" s="80"/>
      <c r="CY110" s="80"/>
      <c r="CZ110" s="80"/>
      <c r="DA110" s="80"/>
      <c r="DB110" s="80"/>
      <c r="DC110" s="80"/>
      <c r="DH110" s="29"/>
      <c r="DQ110" s="33"/>
      <c r="DR110" s="32"/>
      <c r="DS110" s="32"/>
      <c r="DT110" s="32"/>
      <c r="DU110" s="19"/>
      <c r="EI110" s="46"/>
      <c r="EJ110" s="32"/>
      <c r="EK110" s="34"/>
      <c r="EL110" s="32"/>
    </row>
    <row r="111" spans="27:142" x14ac:dyDescent="0.25">
      <c r="BV111" s="255" t="str">
        <f t="shared" si="116"/>
        <v>D.L8.14_15F.1200102</v>
      </c>
      <c r="BW111" s="32" t="s">
        <v>502</v>
      </c>
      <c r="BX111" s="32" t="s">
        <v>730</v>
      </c>
      <c r="BY111" s="32" t="s">
        <v>707</v>
      </c>
      <c r="BZ111" s="32">
        <v>1200102</v>
      </c>
      <c r="CA111" s="32">
        <v>1010</v>
      </c>
      <c r="CB111" s="257"/>
      <c r="CC111" s="254" t="s">
        <v>380</v>
      </c>
      <c r="CD111" s="235">
        <v>0</v>
      </c>
      <c r="CE111" s="257"/>
      <c r="CF111" s="290" t="str">
        <f t="shared" si="118"/>
        <v>LS L8 1200102</v>
      </c>
      <c r="CG111" s="234" t="s">
        <v>585</v>
      </c>
      <c r="CH111" s="326">
        <v>712</v>
      </c>
      <c r="CI111" s="326">
        <v>320.39999999999998</v>
      </c>
      <c r="CJ111" s="326">
        <v>302.60000000000002</v>
      </c>
      <c r="CK111" s="326">
        <v>333.75</v>
      </c>
      <c r="CL111" s="326">
        <v>267</v>
      </c>
      <c r="CM111" s="326">
        <v>267</v>
      </c>
      <c r="CN111" s="256">
        <v>1200102</v>
      </c>
      <c r="CO111" s="290" t="s">
        <v>1165</v>
      </c>
      <c r="CS111" s="107"/>
      <c r="CT111" s="80"/>
      <c r="CU111" s="80"/>
      <c r="CV111" s="80"/>
      <c r="CW111" s="80"/>
      <c r="CX111" s="80"/>
      <c r="CY111" s="80"/>
      <c r="CZ111" s="80"/>
      <c r="DA111" s="80"/>
      <c r="DB111" s="80"/>
      <c r="DC111" s="80"/>
      <c r="DH111" s="29"/>
      <c r="DQ111" s="33"/>
      <c r="DR111" s="32"/>
      <c r="DS111" s="32"/>
      <c r="DT111" s="32"/>
      <c r="DU111" s="19"/>
      <c r="EI111" s="46"/>
      <c r="EJ111" s="32"/>
      <c r="EK111" s="34"/>
      <c r="EL111" s="32"/>
    </row>
    <row r="112" spans="27:142" x14ac:dyDescent="0.25">
      <c r="BV112" s="255" t="str">
        <f t="shared" si="116"/>
        <v>D.L8.14_16F.1200102</v>
      </c>
      <c r="BW112" s="32" t="s">
        <v>502</v>
      </c>
      <c r="BX112" s="32" t="s">
        <v>730</v>
      </c>
      <c r="BY112" s="32" t="s">
        <v>709</v>
      </c>
      <c r="BZ112" s="32">
        <v>1200102</v>
      </c>
      <c r="CA112" s="32">
        <v>1010</v>
      </c>
      <c r="CB112" s="257"/>
      <c r="CC112" s="254" t="s">
        <v>381</v>
      </c>
      <c r="CD112" s="314">
        <v>45</v>
      </c>
      <c r="CE112" s="257"/>
      <c r="CF112" s="290" t="str">
        <f t="shared" si="118"/>
        <v>LB LL 1200102</v>
      </c>
      <c r="CG112" s="234" t="s">
        <v>586</v>
      </c>
      <c r="CH112" s="326">
        <v>1800</v>
      </c>
      <c r="CI112" s="326">
        <v>810</v>
      </c>
      <c r="CJ112" s="326">
        <v>765</v>
      </c>
      <c r="CK112" s="326">
        <v>843.75</v>
      </c>
      <c r="CL112" s="326">
        <v>675</v>
      </c>
      <c r="CM112" s="326">
        <v>675</v>
      </c>
      <c r="CN112" s="256">
        <v>1200102</v>
      </c>
      <c r="CO112" s="290" t="s">
        <v>1166</v>
      </c>
      <c r="CS112" s="107"/>
      <c r="CT112" s="330"/>
      <c r="CU112" s="80"/>
      <c r="CV112" s="80"/>
      <c r="CW112" s="80"/>
      <c r="CX112" s="80"/>
      <c r="CY112" s="80"/>
      <c r="CZ112" s="80"/>
      <c r="DA112" s="80"/>
      <c r="DB112" s="80"/>
      <c r="DC112" s="80"/>
      <c r="DH112" s="29"/>
      <c r="DQ112" s="33"/>
      <c r="DR112" s="32"/>
      <c r="DS112" s="32"/>
      <c r="DT112" s="32"/>
      <c r="DU112" s="19"/>
      <c r="EI112" s="46"/>
      <c r="EJ112" s="32"/>
      <c r="EK112" s="34"/>
      <c r="EL112" s="32"/>
    </row>
    <row r="113" spans="32:142" x14ac:dyDescent="0.25">
      <c r="BV113" s="255" t="str">
        <f t="shared" si="116"/>
        <v>D.L8.15_16F.1200102</v>
      </c>
      <c r="BW113" s="32" t="s">
        <v>502</v>
      </c>
      <c r="BX113" s="32" t="s">
        <v>730</v>
      </c>
      <c r="BY113" s="32" t="s">
        <v>710</v>
      </c>
      <c r="BZ113" s="32">
        <v>1200102</v>
      </c>
      <c r="CA113" s="32">
        <v>1010</v>
      </c>
      <c r="CB113" s="257"/>
      <c r="CC113" s="254" t="s">
        <v>559</v>
      </c>
      <c r="CD113" s="235">
        <v>0</v>
      </c>
      <c r="CE113" s="257"/>
      <c r="CF113" s="290" t="str">
        <f t="shared" si="118"/>
        <v>LF LL 1200102</v>
      </c>
      <c r="CG113" s="234" t="s">
        <v>588</v>
      </c>
      <c r="CH113" s="326">
        <v>1120</v>
      </c>
      <c r="CI113" s="326">
        <v>504</v>
      </c>
      <c r="CJ113" s="326">
        <v>476</v>
      </c>
      <c r="CK113" s="326">
        <v>525</v>
      </c>
      <c r="CL113" s="326">
        <v>420</v>
      </c>
      <c r="CM113" s="326">
        <v>420</v>
      </c>
      <c r="CN113" s="256">
        <v>1200102</v>
      </c>
      <c r="CO113" s="290" t="s">
        <v>1167</v>
      </c>
      <c r="CS113" s="107"/>
      <c r="CT113" s="330"/>
      <c r="CU113" s="80"/>
      <c r="CV113" s="80"/>
      <c r="CW113" s="80"/>
      <c r="CX113" s="80"/>
      <c r="CY113" s="80"/>
      <c r="CZ113" s="80"/>
      <c r="DA113" s="80"/>
      <c r="DB113" s="80"/>
      <c r="DC113" s="80"/>
      <c r="DE113" s="327"/>
      <c r="DQ113" s="36"/>
      <c r="DR113" s="32"/>
      <c r="DS113" s="32"/>
      <c r="DT113" s="40"/>
      <c r="DU113" s="19"/>
      <c r="EI113" s="46"/>
      <c r="EJ113" s="32"/>
      <c r="EK113" s="34"/>
      <c r="EL113" s="32"/>
    </row>
    <row r="114" spans="32:142" x14ac:dyDescent="0.25">
      <c r="BV114" s="255" t="str">
        <f t="shared" si="116"/>
        <v>D.L8.16_16F.1200102</v>
      </c>
      <c r="BW114" s="32" t="s">
        <v>502</v>
      </c>
      <c r="BX114" s="32" t="s">
        <v>730</v>
      </c>
      <c r="BY114" s="32" t="s">
        <v>711</v>
      </c>
      <c r="BZ114" s="32">
        <v>1200102</v>
      </c>
      <c r="CA114" s="32">
        <v>1010</v>
      </c>
      <c r="CB114" s="257"/>
      <c r="CC114" s="254" t="s">
        <v>382</v>
      </c>
      <c r="CD114" s="235">
        <v>0</v>
      </c>
      <c r="CE114" s="257"/>
      <c r="CF114" s="290" t="str">
        <f t="shared" si="118"/>
        <v>LT LL 1200102</v>
      </c>
      <c r="CG114" s="234" t="s">
        <v>587</v>
      </c>
      <c r="CH114" s="326">
        <v>880</v>
      </c>
      <c r="CI114" s="326">
        <v>396</v>
      </c>
      <c r="CJ114" s="326">
        <v>374</v>
      </c>
      <c r="CK114" s="326">
        <v>412.5</v>
      </c>
      <c r="CL114" s="326">
        <v>330</v>
      </c>
      <c r="CM114" s="326">
        <v>330</v>
      </c>
      <c r="CN114" s="256">
        <v>1200102</v>
      </c>
      <c r="CO114" s="290" t="s">
        <v>1168</v>
      </c>
      <c r="CS114" s="107"/>
      <c r="CT114" s="330"/>
      <c r="CU114" s="80"/>
      <c r="CV114" s="80"/>
      <c r="CW114" s="80"/>
      <c r="CX114" s="80"/>
      <c r="CY114" s="80"/>
      <c r="CZ114" s="80"/>
      <c r="DA114" s="80"/>
      <c r="DB114" s="80"/>
      <c r="DC114" s="80"/>
      <c r="DE114" s="327"/>
      <c r="DQ114" s="33"/>
      <c r="DR114" s="32"/>
      <c r="DS114" s="32"/>
      <c r="DT114" s="33"/>
      <c r="DU114" s="19"/>
      <c r="EI114" s="46"/>
      <c r="EJ114" s="32"/>
      <c r="EK114" s="34"/>
      <c r="EL114" s="32"/>
    </row>
    <row r="115" spans="32:142" x14ac:dyDescent="0.25">
      <c r="BV115" s="255" t="str">
        <f t="shared" si="116"/>
        <v>D.L8.16_18F.1200102</v>
      </c>
      <c r="BW115" s="32" t="s">
        <v>502</v>
      </c>
      <c r="BX115" s="32" t="s">
        <v>730</v>
      </c>
      <c r="BY115" s="32" t="s">
        <v>712</v>
      </c>
      <c r="BZ115" s="32">
        <v>1200102</v>
      </c>
      <c r="CA115" s="32">
        <v>1170</v>
      </c>
      <c r="CB115" s="257"/>
      <c r="CC115" s="260"/>
      <c r="CD115" s="257"/>
      <c r="CE115" s="257"/>
      <c r="CF115" s="290" t="str">
        <f t="shared" si="118"/>
        <v>LS LL 1200102</v>
      </c>
      <c r="CG115" s="234" t="s">
        <v>589</v>
      </c>
      <c r="CH115" s="326">
        <v>840</v>
      </c>
      <c r="CI115" s="326">
        <v>378</v>
      </c>
      <c r="CJ115" s="326">
        <v>357</v>
      </c>
      <c r="CK115" s="326">
        <v>393.75</v>
      </c>
      <c r="CL115" s="326">
        <v>315</v>
      </c>
      <c r="CM115" s="326">
        <v>315</v>
      </c>
      <c r="CN115" s="256">
        <v>1200102</v>
      </c>
      <c r="CO115" s="290" t="s">
        <v>1169</v>
      </c>
      <c r="CS115" s="107"/>
      <c r="CT115" s="330"/>
      <c r="CU115" s="80"/>
      <c r="CV115" s="80"/>
      <c r="CW115" s="80"/>
      <c r="CX115" s="80"/>
      <c r="CY115" s="80"/>
      <c r="CZ115" s="80"/>
      <c r="DA115" s="80"/>
      <c r="DB115" s="80"/>
      <c r="DC115" s="80"/>
      <c r="DQ115" s="33"/>
      <c r="DR115" s="32"/>
      <c r="DS115" s="32"/>
      <c r="DT115" s="32"/>
      <c r="DU115" s="19"/>
      <c r="EI115" s="46"/>
      <c r="EJ115" s="32"/>
      <c r="EK115" s="34"/>
      <c r="EL115" s="32"/>
    </row>
    <row r="116" spans="32:142" x14ac:dyDescent="0.25">
      <c r="BV116" s="255" t="str">
        <f t="shared" si="116"/>
        <v>D.L8.10_14S.1200102</v>
      </c>
      <c r="BW116" s="32" t="s">
        <v>502</v>
      </c>
      <c r="BX116" s="32" t="s">
        <v>730</v>
      </c>
      <c r="BY116" s="32" t="s">
        <v>733</v>
      </c>
      <c r="BZ116" s="32">
        <v>1200102</v>
      </c>
      <c r="CA116" s="32">
        <v>1010</v>
      </c>
      <c r="CB116" s="257"/>
      <c r="CC116" s="260"/>
      <c r="CD116" s="257"/>
      <c r="CE116" s="257"/>
      <c r="CF116" s="290" t="str">
        <f t="shared" si="118"/>
        <v>LB LX 1200102</v>
      </c>
      <c r="CG116" s="234" t="s">
        <v>594</v>
      </c>
      <c r="CH116" s="326">
        <v>2160</v>
      </c>
      <c r="CI116" s="326">
        <v>972</v>
      </c>
      <c r="CJ116" s="326">
        <v>918</v>
      </c>
      <c r="CK116" s="326">
        <v>1012.5</v>
      </c>
      <c r="CL116" s="326">
        <v>810</v>
      </c>
      <c r="CM116" s="326">
        <v>810</v>
      </c>
      <c r="CN116" s="256">
        <v>1200102</v>
      </c>
      <c r="CO116" s="290" t="s">
        <v>1170</v>
      </c>
      <c r="CS116" s="107"/>
      <c r="CT116" s="80"/>
      <c r="CU116" s="80"/>
      <c r="CV116" s="80"/>
      <c r="CW116" s="80"/>
      <c r="CX116" s="80"/>
      <c r="CY116" s="80"/>
      <c r="CZ116" s="80"/>
      <c r="DA116" s="80"/>
      <c r="DB116" s="80"/>
      <c r="DC116" s="80"/>
      <c r="DQ116" s="33"/>
      <c r="DR116" s="32"/>
      <c r="DS116" s="32"/>
      <c r="DT116" s="32"/>
      <c r="DU116" s="19"/>
      <c r="EI116" s="46"/>
      <c r="EJ116" s="32"/>
      <c r="EK116" s="34"/>
      <c r="EL116" s="32"/>
    </row>
    <row r="117" spans="32:142" x14ac:dyDescent="0.25">
      <c r="BV117" s="255" t="str">
        <f t="shared" si="116"/>
        <v>D.L8.3H_13S.1200102</v>
      </c>
      <c r="BW117" s="32" t="s">
        <v>502</v>
      </c>
      <c r="BX117" s="32" t="s">
        <v>730</v>
      </c>
      <c r="BY117" s="32" t="s">
        <v>679</v>
      </c>
      <c r="BZ117" s="32">
        <v>1200102</v>
      </c>
      <c r="CA117" s="32">
        <v>780</v>
      </c>
      <c r="CB117" s="257"/>
      <c r="CC117" s="261" t="s">
        <v>18</v>
      </c>
      <c r="CD117" s="257"/>
      <c r="CE117" s="257"/>
      <c r="CF117" s="290" t="str">
        <f t="shared" ref="CF117:CF147" si="119">CONCATENATE(CO117," ",CN117)</f>
        <v>LF LX 1200102</v>
      </c>
      <c r="CG117" s="234" t="s">
        <v>596</v>
      </c>
      <c r="CH117" s="326">
        <v>2000</v>
      </c>
      <c r="CI117" s="326">
        <v>900</v>
      </c>
      <c r="CJ117" s="326">
        <v>850</v>
      </c>
      <c r="CK117" s="326">
        <v>937.5</v>
      </c>
      <c r="CL117" s="326">
        <v>750</v>
      </c>
      <c r="CM117" s="326">
        <v>750</v>
      </c>
      <c r="CN117" s="256">
        <v>1200102</v>
      </c>
      <c r="CO117" s="290" t="s">
        <v>1171</v>
      </c>
      <c r="CS117" s="107"/>
      <c r="CT117" s="80"/>
      <c r="CU117" s="80"/>
      <c r="CV117" s="80"/>
      <c r="CW117" s="80"/>
      <c r="CX117" s="80"/>
      <c r="CY117" s="80"/>
      <c r="CZ117" s="80"/>
      <c r="DA117" s="80"/>
      <c r="DB117" s="80"/>
      <c r="DC117" s="80"/>
      <c r="DQ117" s="33"/>
      <c r="DR117" s="32"/>
      <c r="DS117" s="32"/>
      <c r="DT117" s="32"/>
      <c r="DU117" s="19"/>
      <c r="EI117" s="46"/>
      <c r="EJ117" s="32"/>
      <c r="EK117" s="34"/>
      <c r="EL117" s="32"/>
    </row>
    <row r="118" spans="32:142" x14ac:dyDescent="0.25">
      <c r="BV118" s="255" t="str">
        <f t="shared" si="116"/>
        <v>D.L8.4_14S.1200102</v>
      </c>
      <c r="BW118" s="32" t="s">
        <v>502</v>
      </c>
      <c r="BX118" s="32" t="s">
        <v>730</v>
      </c>
      <c r="BY118" s="32" t="s">
        <v>739</v>
      </c>
      <c r="BZ118" s="32">
        <v>1200102</v>
      </c>
      <c r="CA118" s="32">
        <v>787</v>
      </c>
      <c r="CB118" s="257"/>
      <c r="CC118" s="243" t="s">
        <v>1060</v>
      </c>
      <c r="CE118" s="257"/>
      <c r="CF118" s="290" t="str">
        <f t="shared" si="119"/>
        <v>LT LX 1200102</v>
      </c>
      <c r="CG118" s="234" t="s">
        <v>595</v>
      </c>
      <c r="CH118" s="326">
        <v>1944</v>
      </c>
      <c r="CI118" s="326">
        <v>874.8</v>
      </c>
      <c r="CJ118" s="326">
        <v>826.2</v>
      </c>
      <c r="CK118" s="326">
        <v>911.25</v>
      </c>
      <c r="CL118" s="326">
        <v>729</v>
      </c>
      <c r="CM118" s="326">
        <v>729</v>
      </c>
      <c r="CN118" s="256">
        <v>1200102</v>
      </c>
      <c r="CO118" s="290" t="s">
        <v>1172</v>
      </c>
      <c r="CS118" s="107"/>
      <c r="CT118" s="330"/>
      <c r="CU118" s="80"/>
      <c r="CV118" s="80"/>
      <c r="CW118" s="80"/>
      <c r="CX118" s="80"/>
      <c r="CY118" s="80"/>
      <c r="CZ118" s="80"/>
      <c r="DA118" s="80"/>
      <c r="DB118" s="80"/>
      <c r="DC118" s="80"/>
      <c r="DE118" s="327"/>
      <c r="DQ118" s="39"/>
      <c r="DR118" s="40"/>
      <c r="DS118" s="40"/>
      <c r="DT118" s="32"/>
      <c r="DU118" s="19"/>
      <c r="EI118" s="46"/>
      <c r="EJ118" s="32"/>
      <c r="EK118" s="34"/>
      <c r="EL118" s="32"/>
    </row>
    <row r="119" spans="32:142" x14ac:dyDescent="0.25">
      <c r="BV119" s="255" t="str">
        <f t="shared" si="116"/>
        <v>D.L8.4_14x8S.1200102</v>
      </c>
      <c r="BW119" s="32" t="s">
        <v>502</v>
      </c>
      <c r="BX119" s="32" t="s">
        <v>730</v>
      </c>
      <c r="BY119" s="32" t="s">
        <v>740</v>
      </c>
      <c r="BZ119" s="32">
        <v>1200102</v>
      </c>
      <c r="CA119" s="32">
        <v>790</v>
      </c>
      <c r="CB119" s="257"/>
      <c r="CC119" s="262" t="s">
        <v>362</v>
      </c>
      <c r="CD119" s="235">
        <v>0</v>
      </c>
      <c r="CE119" s="257"/>
      <c r="CF119" s="290" t="str">
        <f t="shared" si="119"/>
        <v>LS LX 1200102</v>
      </c>
      <c r="CG119" s="234" t="s">
        <v>597</v>
      </c>
      <c r="CH119" s="326">
        <v>1304</v>
      </c>
      <c r="CI119" s="326">
        <v>586.79999999999995</v>
      </c>
      <c r="CJ119" s="326">
        <v>554.20000000000005</v>
      </c>
      <c r="CK119" s="326">
        <v>611.25</v>
      </c>
      <c r="CL119" s="326">
        <v>489</v>
      </c>
      <c r="CM119" s="326">
        <v>489</v>
      </c>
      <c r="CN119" s="256">
        <v>1200102</v>
      </c>
      <c r="CO119" s="290" t="s">
        <v>1173</v>
      </c>
      <c r="CS119" s="107"/>
      <c r="CT119" s="330"/>
      <c r="CU119" s="80"/>
      <c r="CV119" s="80"/>
      <c r="CW119" s="80"/>
      <c r="CX119" s="330"/>
      <c r="CY119" s="80"/>
      <c r="CZ119" s="80"/>
      <c r="DA119" s="80"/>
      <c r="DB119" s="80"/>
      <c r="DC119" s="80"/>
      <c r="DE119" s="327"/>
      <c r="DQ119" s="33"/>
      <c r="DR119" s="32"/>
      <c r="DS119" s="32"/>
      <c r="DT119" s="32"/>
      <c r="DU119" s="19"/>
      <c r="EI119" s="46"/>
      <c r="EJ119" s="32"/>
      <c r="EK119" s="34"/>
      <c r="EL119" s="32"/>
    </row>
    <row r="120" spans="32:142" x14ac:dyDescent="0.25">
      <c r="BV120" s="255" t="str">
        <f t="shared" si="116"/>
        <v>D.L8.5_14S.1200102</v>
      </c>
      <c r="BW120" s="32" t="s">
        <v>502</v>
      </c>
      <c r="BX120" s="32" t="s">
        <v>730</v>
      </c>
      <c r="BY120" s="32" t="s">
        <v>677</v>
      </c>
      <c r="BZ120" s="32">
        <v>1200102</v>
      </c>
      <c r="CA120" s="32">
        <v>787</v>
      </c>
      <c r="CB120" s="257"/>
      <c r="CC120" s="243" t="s">
        <v>363</v>
      </c>
      <c r="CD120" s="314">
        <v>30</v>
      </c>
      <c r="CE120" s="257"/>
      <c r="CF120" s="290" t="str">
        <f t="shared" si="119"/>
        <v>LB LM 1200102</v>
      </c>
      <c r="CG120" s="234" t="s">
        <v>590</v>
      </c>
      <c r="CH120" s="326">
        <v>1840</v>
      </c>
      <c r="CI120" s="326">
        <v>828</v>
      </c>
      <c r="CJ120" s="326">
        <v>782</v>
      </c>
      <c r="CK120" s="326">
        <v>862.5</v>
      </c>
      <c r="CL120" s="326">
        <v>690</v>
      </c>
      <c r="CM120" s="326">
        <v>690</v>
      </c>
      <c r="CN120" s="256">
        <v>1200102</v>
      </c>
      <c r="CO120" s="290" t="s">
        <v>1174</v>
      </c>
      <c r="CS120" s="107"/>
      <c r="CT120" s="330"/>
      <c r="CU120" s="80"/>
      <c r="CV120" s="80"/>
      <c r="CW120" s="80"/>
      <c r="CX120" s="330"/>
      <c r="CY120" s="80"/>
      <c r="CZ120" s="80"/>
      <c r="DA120" s="80"/>
      <c r="DB120" s="80"/>
      <c r="DC120" s="80"/>
      <c r="DQ120" s="33"/>
      <c r="DR120" s="32"/>
      <c r="DS120" s="32"/>
      <c r="DT120" s="32"/>
      <c r="DU120" s="19"/>
      <c r="EI120" s="46"/>
      <c r="EJ120" s="32"/>
      <c r="EK120" s="34"/>
      <c r="EL120" s="32"/>
    </row>
    <row r="121" spans="32:142" x14ac:dyDescent="0.25">
      <c r="BV121" s="255" t="str">
        <f t="shared" si="116"/>
        <v>D.L8.5_14x8S.1200102</v>
      </c>
      <c r="BW121" s="32" t="s">
        <v>502</v>
      </c>
      <c r="BX121" s="32" t="s">
        <v>730</v>
      </c>
      <c r="BY121" s="32" t="s">
        <v>681</v>
      </c>
      <c r="BZ121" s="32">
        <v>1200102</v>
      </c>
      <c r="CA121" s="32">
        <v>790</v>
      </c>
      <c r="CB121" s="257"/>
      <c r="CC121" s="243" t="s">
        <v>839</v>
      </c>
      <c r="CD121" s="235">
        <v>0</v>
      </c>
      <c r="CE121" s="257"/>
      <c r="CF121" s="290" t="str">
        <f t="shared" si="119"/>
        <v>LF LM 1200102</v>
      </c>
      <c r="CG121" s="234" t="s">
        <v>592</v>
      </c>
      <c r="CH121" s="326">
        <v>1200</v>
      </c>
      <c r="CI121" s="326">
        <v>540</v>
      </c>
      <c r="CJ121" s="326">
        <v>510</v>
      </c>
      <c r="CK121" s="326">
        <v>562.5</v>
      </c>
      <c r="CL121" s="326">
        <v>450</v>
      </c>
      <c r="CM121" s="326">
        <v>450</v>
      </c>
      <c r="CN121" s="256">
        <v>1200102</v>
      </c>
      <c r="CO121" s="290" t="s">
        <v>1175</v>
      </c>
      <c r="CS121" s="107"/>
      <c r="CT121" s="330"/>
      <c r="CU121" s="80"/>
      <c r="CV121" s="80"/>
      <c r="CW121" s="80"/>
      <c r="CX121" s="80"/>
      <c r="CY121" s="80"/>
      <c r="CZ121" s="80"/>
      <c r="DA121" s="80"/>
      <c r="DB121" s="80"/>
      <c r="DC121" s="80"/>
      <c r="DQ121" s="33"/>
      <c r="DR121" s="32"/>
      <c r="DS121" s="32"/>
      <c r="DT121" s="32"/>
      <c r="DU121" s="19"/>
      <c r="EI121" s="46"/>
      <c r="EJ121" s="32"/>
      <c r="EK121" s="34"/>
      <c r="EL121" s="32"/>
    </row>
    <row r="122" spans="32:142" x14ac:dyDescent="0.25">
      <c r="BV122" s="255" t="str">
        <f t="shared" si="116"/>
        <v>D.L8.5H_14S.1200102</v>
      </c>
      <c r="BW122" s="32" t="s">
        <v>502</v>
      </c>
      <c r="BX122" s="32" t="s">
        <v>730</v>
      </c>
      <c r="BY122" s="32" t="s">
        <v>1208</v>
      </c>
      <c r="BZ122" s="32">
        <v>1200102</v>
      </c>
      <c r="CA122" s="32">
        <v>802</v>
      </c>
      <c r="CB122" s="257"/>
      <c r="CC122" s="243" t="s">
        <v>841</v>
      </c>
      <c r="CD122" s="235">
        <v>0</v>
      </c>
      <c r="CE122" s="257"/>
      <c r="CF122" s="290" t="str">
        <f t="shared" si="119"/>
        <v>LT LM 1200102</v>
      </c>
      <c r="CG122" s="234" t="s">
        <v>591</v>
      </c>
      <c r="CH122" s="326">
        <v>880</v>
      </c>
      <c r="CI122" s="326">
        <v>396</v>
      </c>
      <c r="CJ122" s="326">
        <v>374</v>
      </c>
      <c r="CK122" s="326">
        <v>412.5</v>
      </c>
      <c r="CL122" s="326">
        <v>330</v>
      </c>
      <c r="CM122" s="326">
        <v>330</v>
      </c>
      <c r="CN122" s="256">
        <v>1200102</v>
      </c>
      <c r="CO122" s="290" t="s">
        <v>1176</v>
      </c>
      <c r="CS122" s="107"/>
      <c r="CT122" s="330"/>
      <c r="CU122" s="80"/>
      <c r="CV122" s="80"/>
      <c r="CW122" s="80"/>
      <c r="CX122" s="80"/>
      <c r="CY122" s="80"/>
      <c r="CZ122" s="80"/>
      <c r="DA122" s="80"/>
      <c r="DB122" s="80"/>
      <c r="DC122" s="80"/>
      <c r="DQ122" s="33"/>
      <c r="DR122" s="32"/>
      <c r="DS122" s="32"/>
      <c r="DT122" s="34"/>
      <c r="DU122" s="19"/>
      <c r="EI122" s="46"/>
      <c r="EJ122" s="32"/>
      <c r="EK122" s="34"/>
      <c r="EL122" s="32"/>
    </row>
    <row r="123" spans="32:142" x14ac:dyDescent="0.25">
      <c r="BV123" s="255" t="str">
        <f t="shared" si="116"/>
        <v>D.L8.5H_14x8S.1200102</v>
      </c>
      <c r="BW123" s="32" t="s">
        <v>502</v>
      </c>
      <c r="BX123" s="32" t="s">
        <v>730</v>
      </c>
      <c r="BY123" s="32" t="s">
        <v>1209</v>
      </c>
      <c r="BZ123" s="32">
        <v>1200102</v>
      </c>
      <c r="CA123" s="32">
        <v>804</v>
      </c>
      <c r="CB123" s="257"/>
      <c r="CC123" s="243" t="s">
        <v>364</v>
      </c>
      <c r="CD123" s="235">
        <v>0</v>
      </c>
      <c r="CE123" s="257"/>
      <c r="CF123" s="290" t="str">
        <f t="shared" si="119"/>
        <v>LS LM 1200102</v>
      </c>
      <c r="CG123" s="234" t="s">
        <v>593</v>
      </c>
      <c r="CH123" s="326">
        <v>840</v>
      </c>
      <c r="CI123" s="326">
        <v>378</v>
      </c>
      <c r="CJ123" s="326">
        <v>357</v>
      </c>
      <c r="CK123" s="326">
        <v>393.75</v>
      </c>
      <c r="CL123" s="326">
        <v>315</v>
      </c>
      <c r="CM123" s="326">
        <v>315</v>
      </c>
      <c r="CN123" s="256">
        <v>1200102</v>
      </c>
      <c r="CO123" s="290" t="s">
        <v>1177</v>
      </c>
      <c r="CS123" s="107"/>
      <c r="CT123" s="80"/>
      <c r="CU123" s="80"/>
      <c r="CV123" s="80"/>
      <c r="CW123" s="80"/>
      <c r="CX123" s="80"/>
      <c r="CY123" s="80"/>
      <c r="CZ123" s="80"/>
      <c r="DA123" s="80"/>
      <c r="DB123" s="80"/>
      <c r="DC123" s="80"/>
      <c r="DQ123" s="33"/>
      <c r="DR123" s="32"/>
      <c r="DS123" s="32"/>
      <c r="DT123" s="32"/>
      <c r="DU123" s="19"/>
      <c r="EI123" s="46"/>
      <c r="EJ123" s="32"/>
      <c r="EK123" s="34"/>
      <c r="EL123" s="32"/>
    </row>
    <row r="124" spans="32:142" x14ac:dyDescent="0.25">
      <c r="AF124" s="43"/>
      <c r="BV124" s="255" t="str">
        <f t="shared" si="116"/>
        <v>D.L8.6_12S.1200102</v>
      </c>
      <c r="BW124" s="32" t="s">
        <v>502</v>
      </c>
      <c r="BX124" s="32" t="s">
        <v>730</v>
      </c>
      <c r="BY124" s="32" t="s">
        <v>675</v>
      </c>
      <c r="BZ124" s="32">
        <v>1200102</v>
      </c>
      <c r="CA124" s="32">
        <v>833</v>
      </c>
      <c r="CB124" s="257"/>
      <c r="CC124" s="243" t="s">
        <v>365</v>
      </c>
      <c r="CD124" s="314">
        <v>30</v>
      </c>
      <c r="CE124" s="257"/>
      <c r="CF124" s="290" t="str">
        <f t="shared" si="119"/>
        <v>LB LO 1200102</v>
      </c>
      <c r="CG124" s="234" t="s">
        <v>911</v>
      </c>
      <c r="CH124" s="326">
        <v>1569</v>
      </c>
      <c r="CI124" s="326">
        <v>706.05</v>
      </c>
      <c r="CJ124" s="326">
        <v>666.83</v>
      </c>
      <c r="CK124" s="326">
        <v>735.48</v>
      </c>
      <c r="CL124" s="326">
        <v>588.38</v>
      </c>
      <c r="CM124" s="326">
        <v>588.38</v>
      </c>
      <c r="CN124" s="256">
        <v>1200102</v>
      </c>
      <c r="CO124" s="290" t="s">
        <v>1178</v>
      </c>
      <c r="CS124" s="107"/>
      <c r="CT124" s="80"/>
      <c r="CU124" s="80"/>
      <c r="CV124" s="80"/>
      <c r="CW124" s="80"/>
      <c r="CX124" s="80"/>
      <c r="CY124" s="80"/>
      <c r="CZ124" s="80"/>
      <c r="DA124" s="80"/>
      <c r="DB124" s="80"/>
      <c r="DC124" s="80"/>
      <c r="DQ124" s="33"/>
      <c r="DR124" s="32"/>
      <c r="DS124" s="32"/>
      <c r="DT124" s="32"/>
      <c r="DU124" s="19"/>
      <c r="EI124" s="46"/>
      <c r="EJ124" s="32"/>
      <c r="EK124" s="34"/>
      <c r="EL124" s="32"/>
    </row>
    <row r="125" spans="32:142" x14ac:dyDescent="0.25">
      <c r="BV125" s="255" t="str">
        <f t="shared" si="116"/>
        <v>D.L8.6_13S.1200102</v>
      </c>
      <c r="BW125" s="32" t="s">
        <v>502</v>
      </c>
      <c r="BX125" s="32" t="s">
        <v>730</v>
      </c>
      <c r="BY125" s="32" t="s">
        <v>676</v>
      </c>
      <c r="BZ125" s="32">
        <v>1200102</v>
      </c>
      <c r="CA125" s="32">
        <v>833</v>
      </c>
      <c r="CB125" s="257"/>
      <c r="CC125" s="243" t="s">
        <v>843</v>
      </c>
      <c r="CD125" s="235">
        <v>0</v>
      </c>
      <c r="CE125" s="257"/>
      <c r="CF125" s="290" t="str">
        <f t="shared" si="119"/>
        <v>LF LO 1200102</v>
      </c>
      <c r="CG125" s="234" t="s">
        <v>913</v>
      </c>
      <c r="CH125" s="326">
        <v>989</v>
      </c>
      <c r="CI125" s="326">
        <v>445.05</v>
      </c>
      <c r="CJ125" s="326">
        <v>420.33</v>
      </c>
      <c r="CK125" s="326">
        <v>463.6</v>
      </c>
      <c r="CL125" s="326">
        <v>370.88</v>
      </c>
      <c r="CM125" s="326">
        <v>370.88</v>
      </c>
      <c r="CN125" s="256">
        <v>1200102</v>
      </c>
      <c r="CO125" s="290" t="s">
        <v>1179</v>
      </c>
      <c r="CS125" s="107"/>
      <c r="CT125" s="330"/>
      <c r="CU125" s="80"/>
      <c r="CV125" s="80"/>
      <c r="CW125" s="80"/>
      <c r="CX125" s="80"/>
      <c r="CY125" s="80"/>
      <c r="CZ125" s="80"/>
      <c r="DA125" s="330"/>
      <c r="DB125" s="80"/>
      <c r="DC125" s="80"/>
      <c r="DE125" s="327"/>
      <c r="DQ125" s="33"/>
      <c r="DR125" s="32"/>
      <c r="DS125" s="32"/>
      <c r="DT125" s="34"/>
      <c r="DU125" s="19"/>
      <c r="EI125" s="46"/>
      <c r="EJ125" s="32"/>
      <c r="EK125" s="34"/>
      <c r="EL125" s="32"/>
    </row>
    <row r="126" spans="32:142" x14ac:dyDescent="0.25">
      <c r="BV126" s="255" t="str">
        <f t="shared" si="116"/>
        <v>D.L8.6H_14S.1200102</v>
      </c>
      <c r="BW126" s="32" t="s">
        <v>502</v>
      </c>
      <c r="BX126" s="32" t="s">
        <v>730</v>
      </c>
      <c r="BY126" s="32" t="s">
        <v>680</v>
      </c>
      <c r="BZ126" s="32">
        <v>1200102</v>
      </c>
      <c r="CA126" s="32">
        <v>833</v>
      </c>
      <c r="CB126" s="257"/>
      <c r="CC126" s="262" t="s">
        <v>844</v>
      </c>
      <c r="CD126" s="235">
        <v>0</v>
      </c>
      <c r="CE126" s="257"/>
      <c r="CF126" s="290" t="str">
        <f t="shared" si="119"/>
        <v>LT LO 1200102</v>
      </c>
      <c r="CG126" s="234" t="s">
        <v>912</v>
      </c>
      <c r="CH126" s="326">
        <v>689</v>
      </c>
      <c r="CI126" s="326">
        <v>310.05</v>
      </c>
      <c r="CJ126" s="326">
        <v>292.83</v>
      </c>
      <c r="CK126" s="326">
        <v>322.98</v>
      </c>
      <c r="CL126" s="326">
        <v>258.38</v>
      </c>
      <c r="CM126" s="326">
        <v>258.38</v>
      </c>
      <c r="CN126" s="256">
        <v>1200102</v>
      </c>
      <c r="CO126" s="290" t="s">
        <v>1180</v>
      </c>
      <c r="CS126" s="107"/>
      <c r="CT126" s="330"/>
      <c r="CU126" s="80"/>
      <c r="CV126" s="80"/>
      <c r="CW126" s="80"/>
      <c r="CX126" s="330"/>
      <c r="CY126" s="80"/>
      <c r="CZ126" s="80"/>
      <c r="DA126" s="330"/>
      <c r="DB126" s="80"/>
      <c r="DC126" s="80"/>
      <c r="DE126" s="327"/>
      <c r="DQ126" s="33"/>
      <c r="DR126" s="32"/>
      <c r="DS126" s="32"/>
      <c r="DT126" s="32"/>
      <c r="DU126" s="19"/>
      <c r="EI126" s="46"/>
      <c r="EJ126" s="32"/>
      <c r="EK126" s="34"/>
      <c r="EL126" s="32"/>
    </row>
    <row r="127" spans="32:142" x14ac:dyDescent="0.25">
      <c r="BV127" s="255" t="str">
        <f t="shared" si="116"/>
        <v>D.L8.6H_14x8S.1200102</v>
      </c>
      <c r="BW127" s="32" t="s">
        <v>502</v>
      </c>
      <c r="BX127" s="32" t="s">
        <v>730</v>
      </c>
      <c r="BY127" s="32" t="s">
        <v>682</v>
      </c>
      <c r="BZ127" s="32">
        <v>1200102</v>
      </c>
      <c r="CA127" s="32">
        <v>833</v>
      </c>
      <c r="CB127" s="257"/>
      <c r="CC127" s="262" t="s">
        <v>366</v>
      </c>
      <c r="CD127" s="235">
        <v>0</v>
      </c>
      <c r="CE127" s="257"/>
      <c r="CF127" s="290" t="str">
        <f t="shared" si="119"/>
        <v>LS LO 1200102</v>
      </c>
      <c r="CG127" s="234" t="s">
        <v>957</v>
      </c>
      <c r="CH127" s="326">
        <v>689</v>
      </c>
      <c r="CI127" s="326">
        <v>310.05</v>
      </c>
      <c r="CJ127" s="326">
        <v>292.83</v>
      </c>
      <c r="CK127" s="326">
        <v>322.98</v>
      </c>
      <c r="CL127" s="326">
        <v>258.38</v>
      </c>
      <c r="CM127" s="326">
        <v>258.38</v>
      </c>
      <c r="CN127" s="256">
        <v>1200102</v>
      </c>
      <c r="CO127" s="290" t="s">
        <v>1181</v>
      </c>
      <c r="CS127" s="107"/>
      <c r="CT127" s="330"/>
      <c r="CU127" s="80"/>
      <c r="CV127" s="80"/>
      <c r="CW127" s="80"/>
      <c r="CX127" s="330"/>
      <c r="CY127" s="80"/>
      <c r="CZ127" s="80"/>
      <c r="DA127" s="80"/>
      <c r="DB127" s="80"/>
      <c r="DC127" s="80"/>
      <c r="DE127" s="327"/>
      <c r="DQ127" s="36"/>
      <c r="DR127" s="32"/>
      <c r="DS127" s="32"/>
      <c r="DT127" s="32"/>
      <c r="DU127" s="19"/>
      <c r="EI127" s="46"/>
      <c r="EJ127" s="32"/>
      <c r="EK127" s="34"/>
      <c r="EL127" s="32"/>
    </row>
    <row r="128" spans="32:142" x14ac:dyDescent="0.25">
      <c r="BV128" s="255" t="str">
        <f t="shared" si="116"/>
        <v>D.L8.8_14S.1200102</v>
      </c>
      <c r="BW128" s="32" t="s">
        <v>502</v>
      </c>
      <c r="BX128" s="32" t="s">
        <v>730</v>
      </c>
      <c r="BY128" s="32" t="s">
        <v>678</v>
      </c>
      <c r="BZ128" s="32">
        <v>1200102</v>
      </c>
      <c r="CA128" s="32">
        <v>865</v>
      </c>
      <c r="CB128" s="257"/>
      <c r="CC128" s="262" t="s">
        <v>367</v>
      </c>
      <c r="CD128" s="314">
        <v>30</v>
      </c>
      <c r="CE128" s="257"/>
      <c r="CF128" s="290" t="str">
        <f t="shared" si="119"/>
        <v>LB L8 1210401</v>
      </c>
      <c r="CG128" s="234" t="s">
        <v>582</v>
      </c>
      <c r="CH128" s="42">
        <v>1400</v>
      </c>
      <c r="CI128" s="42">
        <v>630</v>
      </c>
      <c r="CJ128" s="42">
        <v>595</v>
      </c>
      <c r="CK128" s="42">
        <v>656.25</v>
      </c>
      <c r="CL128" s="42">
        <v>525</v>
      </c>
      <c r="CM128" s="42">
        <v>525</v>
      </c>
      <c r="CN128" s="257">
        <v>1210401</v>
      </c>
      <c r="CO128" s="290" t="s">
        <v>1162</v>
      </c>
      <c r="CS128" s="107"/>
      <c r="CT128" s="330"/>
      <c r="CU128" s="80"/>
      <c r="CV128" s="80"/>
      <c r="CW128" s="80"/>
      <c r="CX128" s="330"/>
      <c r="CY128" s="80"/>
      <c r="CZ128" s="80"/>
      <c r="DA128" s="80"/>
      <c r="DB128" s="80"/>
      <c r="DC128" s="80"/>
      <c r="DE128" s="327"/>
      <c r="DQ128" s="33"/>
      <c r="DR128" s="32"/>
      <c r="DS128" s="32"/>
      <c r="DT128" s="32"/>
      <c r="DU128" s="19"/>
      <c r="EI128" s="46"/>
      <c r="EJ128" s="32"/>
      <c r="EK128" s="34"/>
      <c r="EL128" s="32"/>
    </row>
    <row r="129" spans="74:142" x14ac:dyDescent="0.25">
      <c r="BV129" s="255" t="str">
        <f t="shared" si="116"/>
        <v>D.L8.10_12T.1200102</v>
      </c>
      <c r="BW129" s="32" t="s">
        <v>502</v>
      </c>
      <c r="BX129" s="32" t="s">
        <v>730</v>
      </c>
      <c r="BY129" s="32" t="s">
        <v>713</v>
      </c>
      <c r="BZ129" s="32">
        <v>1200102</v>
      </c>
      <c r="CA129" s="32">
        <v>725</v>
      </c>
      <c r="CB129" s="257"/>
      <c r="CC129" s="262" t="s">
        <v>845</v>
      </c>
      <c r="CD129" s="235">
        <v>0</v>
      </c>
      <c r="CE129" s="257"/>
      <c r="CF129" s="290" t="str">
        <f t="shared" si="119"/>
        <v>LF L8 1210401</v>
      </c>
      <c r="CG129" s="234" t="s">
        <v>584</v>
      </c>
      <c r="CH129" s="42">
        <v>688</v>
      </c>
      <c r="CI129" s="42">
        <v>309.60000000000002</v>
      </c>
      <c r="CJ129" s="42">
        <v>292.39999999999998</v>
      </c>
      <c r="CK129" s="42">
        <v>322.5</v>
      </c>
      <c r="CL129" s="42">
        <v>258</v>
      </c>
      <c r="CM129" s="42">
        <v>258</v>
      </c>
      <c r="CN129" s="257">
        <v>1210401</v>
      </c>
      <c r="CO129" s="290" t="s">
        <v>1163</v>
      </c>
      <c r="CS129" s="107"/>
      <c r="CT129" s="330"/>
      <c r="CU129" s="80"/>
      <c r="CV129" s="80"/>
      <c r="CW129" s="80"/>
      <c r="CX129" s="330"/>
      <c r="CY129" s="80"/>
      <c r="CZ129" s="80"/>
      <c r="DA129" s="80"/>
      <c r="DB129" s="80"/>
      <c r="DC129" s="80"/>
      <c r="DQ129" s="33"/>
      <c r="DR129" s="32"/>
      <c r="DS129" s="32"/>
      <c r="DT129" s="34"/>
      <c r="DU129" s="19"/>
      <c r="EI129" s="46"/>
      <c r="EJ129" s="32"/>
      <c r="EK129" s="34"/>
      <c r="EL129" s="32"/>
    </row>
    <row r="130" spans="74:142" x14ac:dyDescent="0.25">
      <c r="BV130" s="255" t="str">
        <f t="shared" si="116"/>
        <v>D.L8.10_13T.1200102</v>
      </c>
      <c r="BW130" s="32" t="s">
        <v>502</v>
      </c>
      <c r="BX130" s="32" t="s">
        <v>730</v>
      </c>
      <c r="BY130" s="32" t="s">
        <v>715</v>
      </c>
      <c r="BZ130" s="32">
        <v>1200102</v>
      </c>
      <c r="CA130" s="32">
        <v>790</v>
      </c>
      <c r="CB130" s="257"/>
      <c r="CC130" s="262" t="s">
        <v>846</v>
      </c>
      <c r="CD130" s="235">
        <v>0</v>
      </c>
      <c r="CE130" s="257"/>
      <c r="CF130" s="290" t="str">
        <f t="shared" si="119"/>
        <v>LT L8 1210401</v>
      </c>
      <c r="CG130" s="234" t="s">
        <v>583</v>
      </c>
      <c r="CH130" s="42">
        <v>600</v>
      </c>
      <c r="CI130" s="42">
        <v>270</v>
      </c>
      <c r="CJ130" s="42">
        <v>255</v>
      </c>
      <c r="CK130" s="42">
        <v>281.25</v>
      </c>
      <c r="CL130" s="42">
        <v>225</v>
      </c>
      <c r="CM130" s="42">
        <v>225</v>
      </c>
      <c r="CN130" s="257">
        <v>1210401</v>
      </c>
      <c r="CO130" s="290" t="s">
        <v>1164</v>
      </c>
      <c r="CS130" s="107"/>
      <c r="CT130" s="330"/>
      <c r="CU130" s="80"/>
      <c r="CV130" s="80"/>
      <c r="CW130" s="80"/>
      <c r="CX130" s="80"/>
      <c r="CY130" s="80"/>
      <c r="CZ130" s="80"/>
      <c r="DA130" s="80"/>
      <c r="DB130" s="80"/>
      <c r="DC130" s="80"/>
      <c r="DE130" s="327"/>
      <c r="DQ130" s="36"/>
      <c r="DR130" s="32"/>
      <c r="DS130" s="32"/>
      <c r="DT130" s="34"/>
      <c r="DU130" s="19"/>
      <c r="EI130" s="46"/>
      <c r="EJ130" s="32"/>
      <c r="EK130" s="34"/>
      <c r="EL130" s="32"/>
    </row>
    <row r="131" spans="74:142" x14ac:dyDescent="0.25">
      <c r="BV131" s="255" t="str">
        <f t="shared" si="116"/>
        <v>D.L8.10_14T.1200102</v>
      </c>
      <c r="BW131" s="32" t="s">
        <v>502</v>
      </c>
      <c r="BX131" s="32" t="s">
        <v>730</v>
      </c>
      <c r="BY131" s="32" t="s">
        <v>718</v>
      </c>
      <c r="BZ131" s="32">
        <v>1200102</v>
      </c>
      <c r="CA131" s="32">
        <v>887</v>
      </c>
      <c r="CB131" s="257"/>
      <c r="CC131" s="243" t="s">
        <v>368</v>
      </c>
      <c r="CD131" s="235">
        <v>0</v>
      </c>
      <c r="CE131" s="257"/>
      <c r="CF131" s="290" t="str">
        <f t="shared" si="119"/>
        <v>LS L8 1210401</v>
      </c>
      <c r="CG131" s="234" t="s">
        <v>585</v>
      </c>
      <c r="CH131" s="42">
        <v>712</v>
      </c>
      <c r="CI131" s="42">
        <v>320.39999999999998</v>
      </c>
      <c r="CJ131" s="42">
        <v>302.60000000000002</v>
      </c>
      <c r="CK131" s="42">
        <v>333.75</v>
      </c>
      <c r="CL131" s="42">
        <v>267</v>
      </c>
      <c r="CM131" s="42">
        <v>267</v>
      </c>
      <c r="CN131" s="257">
        <v>1210401</v>
      </c>
      <c r="CO131" s="290" t="s">
        <v>1165</v>
      </c>
      <c r="CS131" s="107"/>
      <c r="CT131" s="330"/>
      <c r="CU131" s="80"/>
      <c r="CV131" s="80"/>
      <c r="CW131" s="80"/>
      <c r="CX131" s="80"/>
      <c r="CY131" s="80"/>
      <c r="CZ131" s="80"/>
      <c r="DA131" s="80"/>
      <c r="DB131" s="80"/>
      <c r="DC131" s="80"/>
      <c r="DE131" s="327"/>
      <c r="DQ131" s="33"/>
      <c r="DR131" s="32"/>
      <c r="DS131" s="32"/>
      <c r="DT131" s="32"/>
      <c r="DU131" s="19"/>
      <c r="EI131" s="46"/>
      <c r="EJ131" s="32"/>
      <c r="EK131" s="34"/>
      <c r="EL131" s="32"/>
    </row>
    <row r="132" spans="74:142" x14ac:dyDescent="0.25">
      <c r="BV132" s="255" t="str">
        <f t="shared" si="116"/>
        <v>D.L8.11_12T.1200102</v>
      </c>
      <c r="BW132" s="32" t="s">
        <v>502</v>
      </c>
      <c r="BX132" s="32" t="s">
        <v>730</v>
      </c>
      <c r="BY132" s="32" t="s">
        <v>714</v>
      </c>
      <c r="BZ132" s="32">
        <v>1200102</v>
      </c>
      <c r="CA132" s="32">
        <v>725</v>
      </c>
      <c r="CB132" s="257"/>
      <c r="CC132" s="243" t="s">
        <v>369</v>
      </c>
      <c r="CD132" s="235">
        <v>0</v>
      </c>
      <c r="CE132" s="257"/>
      <c r="CF132" s="290" t="str">
        <f t="shared" si="119"/>
        <v>LB LL 1210401</v>
      </c>
      <c r="CG132" s="234" t="s">
        <v>586</v>
      </c>
      <c r="CH132" s="42">
        <v>1800</v>
      </c>
      <c r="CI132" s="42">
        <v>810</v>
      </c>
      <c r="CJ132" s="42">
        <v>765</v>
      </c>
      <c r="CK132" s="42">
        <v>843.75</v>
      </c>
      <c r="CL132" s="42">
        <v>675</v>
      </c>
      <c r="CM132" s="42">
        <v>675</v>
      </c>
      <c r="CN132" s="257">
        <v>1210401</v>
      </c>
      <c r="CO132" s="290" t="s">
        <v>1166</v>
      </c>
      <c r="CS132" s="107"/>
      <c r="CT132" s="330"/>
      <c r="CU132" s="80"/>
      <c r="CV132" s="80"/>
      <c r="CW132" s="80"/>
      <c r="CX132" s="80"/>
      <c r="CY132" s="80"/>
      <c r="CZ132" s="80"/>
      <c r="DA132" s="80"/>
      <c r="DB132" s="80"/>
      <c r="DC132" s="80"/>
      <c r="DQ132" s="33"/>
      <c r="DR132" s="32"/>
      <c r="DS132" s="32"/>
      <c r="DT132" s="32"/>
      <c r="DU132" s="19"/>
      <c r="EI132" s="46"/>
      <c r="EJ132" s="32"/>
      <c r="EK132" s="34"/>
      <c r="EL132" s="32"/>
    </row>
    <row r="133" spans="74:142" x14ac:dyDescent="0.25">
      <c r="BV133" s="255" t="str">
        <f t="shared" si="116"/>
        <v>D.L8.11_13T.1200102</v>
      </c>
      <c r="BW133" s="32" t="s">
        <v>502</v>
      </c>
      <c r="BX133" s="32" t="s">
        <v>730</v>
      </c>
      <c r="BY133" s="32" t="s">
        <v>716</v>
      </c>
      <c r="BZ133" s="32">
        <v>1200102</v>
      </c>
      <c r="CA133" s="32">
        <v>790</v>
      </c>
      <c r="CB133" s="257"/>
      <c r="CC133" s="243" t="s">
        <v>370</v>
      </c>
      <c r="CD133" s="235">
        <v>0</v>
      </c>
      <c r="CE133" s="257"/>
      <c r="CF133" s="290" t="str">
        <f t="shared" si="119"/>
        <v>LF LL 1210401</v>
      </c>
      <c r="CG133" s="234" t="s">
        <v>588</v>
      </c>
      <c r="CH133" s="42">
        <v>1120</v>
      </c>
      <c r="CI133" s="42">
        <v>504</v>
      </c>
      <c r="CJ133" s="42">
        <v>476</v>
      </c>
      <c r="CK133" s="42">
        <v>525</v>
      </c>
      <c r="CL133" s="42">
        <v>420</v>
      </c>
      <c r="CM133" s="42">
        <v>420</v>
      </c>
      <c r="CN133" s="257">
        <v>1210401</v>
      </c>
      <c r="CO133" s="290" t="s">
        <v>1167</v>
      </c>
      <c r="CS133" s="107"/>
      <c r="CT133" s="330"/>
      <c r="CU133" s="80"/>
      <c r="CV133" s="80"/>
      <c r="CW133" s="80"/>
      <c r="CX133" s="80"/>
      <c r="CY133" s="80"/>
      <c r="CZ133" s="80"/>
      <c r="DA133" s="80"/>
      <c r="DB133" s="80"/>
      <c r="DC133" s="80"/>
      <c r="DQ133" s="33"/>
      <c r="DR133" s="32"/>
      <c r="DS133" s="32"/>
      <c r="DT133" s="32"/>
      <c r="DU133" s="19"/>
      <c r="EI133" s="46"/>
      <c r="EJ133" s="32"/>
      <c r="EK133" s="34"/>
      <c r="EL133" s="32"/>
    </row>
    <row r="134" spans="74:142" x14ac:dyDescent="0.25">
      <c r="BV134" s="255" t="str">
        <f t="shared" si="116"/>
        <v>D.L8.11_14T.1200102</v>
      </c>
      <c r="BW134" s="32" t="s">
        <v>502</v>
      </c>
      <c r="BX134" s="32" t="s">
        <v>730</v>
      </c>
      <c r="BY134" s="32" t="s">
        <v>719</v>
      </c>
      <c r="BZ134" s="32">
        <v>1200102</v>
      </c>
      <c r="CA134" s="32">
        <v>887</v>
      </c>
      <c r="CB134" s="257"/>
      <c r="CC134" s="243" t="s">
        <v>371</v>
      </c>
      <c r="CD134" s="314">
        <v>45</v>
      </c>
      <c r="CE134" s="257"/>
      <c r="CF134" s="290" t="str">
        <f t="shared" si="119"/>
        <v>LT LL 1210401</v>
      </c>
      <c r="CG134" s="234" t="s">
        <v>587</v>
      </c>
      <c r="CH134" s="42">
        <v>880</v>
      </c>
      <c r="CI134" s="42">
        <v>396</v>
      </c>
      <c r="CJ134" s="42">
        <v>374</v>
      </c>
      <c r="CK134" s="42">
        <v>412.5</v>
      </c>
      <c r="CL134" s="42">
        <v>330</v>
      </c>
      <c r="CM134" s="42">
        <v>330</v>
      </c>
      <c r="CN134" s="257">
        <v>1210401</v>
      </c>
      <c r="CO134" s="290" t="s">
        <v>1168</v>
      </c>
      <c r="CS134" s="107"/>
      <c r="CT134" s="330"/>
      <c r="CU134" s="80"/>
      <c r="CV134" s="80"/>
      <c r="CW134" s="80"/>
      <c r="CX134" s="80"/>
      <c r="CY134" s="80"/>
      <c r="CZ134" s="80"/>
      <c r="DA134" s="80"/>
      <c r="DB134" s="80"/>
      <c r="DC134" s="80"/>
      <c r="DQ134" s="36"/>
      <c r="DR134" s="32"/>
      <c r="DS134" s="32"/>
      <c r="DT134" s="32"/>
      <c r="DU134" s="19"/>
      <c r="EI134" s="46"/>
      <c r="EJ134" s="32"/>
      <c r="EK134" s="34"/>
      <c r="EL134" s="32"/>
    </row>
    <row r="135" spans="74:142" x14ac:dyDescent="0.25">
      <c r="BV135" s="255" t="str">
        <f t="shared" si="116"/>
        <v>D.L8.12_13T.1200102</v>
      </c>
      <c r="BW135" s="32" t="s">
        <v>502</v>
      </c>
      <c r="BX135" s="32" t="s">
        <v>730</v>
      </c>
      <c r="BY135" s="32" t="s">
        <v>717</v>
      </c>
      <c r="BZ135" s="32">
        <v>1200102</v>
      </c>
      <c r="CA135" s="32">
        <v>790</v>
      </c>
      <c r="CB135" s="257"/>
      <c r="CC135" s="243" t="s">
        <v>847</v>
      </c>
      <c r="CD135" s="235">
        <v>0</v>
      </c>
      <c r="CE135" s="257"/>
      <c r="CF135" s="290" t="str">
        <f t="shared" si="119"/>
        <v>LS LL 1210401</v>
      </c>
      <c r="CG135" s="234" t="s">
        <v>589</v>
      </c>
      <c r="CH135" s="42">
        <v>840</v>
      </c>
      <c r="CI135" s="42">
        <v>378</v>
      </c>
      <c r="CJ135" s="42">
        <v>357</v>
      </c>
      <c r="CK135" s="42">
        <v>393.75</v>
      </c>
      <c r="CL135" s="42">
        <v>315</v>
      </c>
      <c r="CM135" s="42">
        <v>315</v>
      </c>
      <c r="CN135" s="257">
        <v>1210401</v>
      </c>
      <c r="CO135" s="290" t="s">
        <v>1169</v>
      </c>
      <c r="CS135" s="107"/>
      <c r="CT135" s="80"/>
      <c r="CU135" s="80"/>
      <c r="CV135" s="80"/>
      <c r="CW135" s="80"/>
      <c r="CX135" s="80"/>
      <c r="CY135" s="80"/>
      <c r="CZ135" s="80"/>
      <c r="DA135" s="80"/>
      <c r="DB135" s="80"/>
      <c r="DC135" s="80"/>
      <c r="DQ135" s="36"/>
      <c r="DR135" s="32"/>
      <c r="DS135" s="32"/>
      <c r="DT135" s="32"/>
      <c r="DU135" s="19"/>
      <c r="EI135" s="46"/>
      <c r="EJ135" s="32"/>
      <c r="EK135" s="34"/>
      <c r="EL135" s="32"/>
    </row>
    <row r="136" spans="74:142" x14ac:dyDescent="0.25">
      <c r="BV136" s="255" t="str">
        <f t="shared" si="116"/>
        <v>D.L8.12_14T.1200102</v>
      </c>
      <c r="BW136" s="32" t="s">
        <v>502</v>
      </c>
      <c r="BX136" s="32" t="s">
        <v>730</v>
      </c>
      <c r="BY136" s="32" t="s">
        <v>720</v>
      </c>
      <c r="BZ136" s="32">
        <v>1200102</v>
      </c>
      <c r="CA136" s="32">
        <v>887</v>
      </c>
      <c r="CB136" s="257"/>
      <c r="CC136" s="243" t="s">
        <v>1123</v>
      </c>
      <c r="CD136" s="235">
        <v>0</v>
      </c>
      <c r="CE136" s="257"/>
      <c r="CF136" s="290" t="str">
        <f t="shared" si="119"/>
        <v>LB LX 1210401</v>
      </c>
      <c r="CG136" s="234" t="s">
        <v>594</v>
      </c>
      <c r="CH136" s="42">
        <v>2160</v>
      </c>
      <c r="CI136" s="42">
        <v>972</v>
      </c>
      <c r="CJ136" s="42">
        <v>918</v>
      </c>
      <c r="CK136" s="42">
        <v>1012.5</v>
      </c>
      <c r="CL136" s="42">
        <v>810</v>
      </c>
      <c r="CM136" s="42">
        <v>810</v>
      </c>
      <c r="CN136" s="257">
        <v>1210401</v>
      </c>
      <c r="CO136" s="290" t="s">
        <v>1170</v>
      </c>
      <c r="CS136" s="107"/>
      <c r="CT136" s="80"/>
      <c r="CU136" s="80"/>
      <c r="CV136" s="80"/>
      <c r="CW136" s="80"/>
      <c r="CX136" s="80"/>
      <c r="CY136" s="80"/>
      <c r="CZ136" s="80"/>
      <c r="DA136" s="80"/>
      <c r="DB136" s="80"/>
      <c r="DC136" s="80"/>
      <c r="DQ136" s="33"/>
      <c r="DR136" s="32"/>
      <c r="DS136" s="32"/>
      <c r="DT136" s="32"/>
      <c r="DU136" s="19"/>
      <c r="EI136" s="46"/>
      <c r="EJ136" s="32"/>
      <c r="EK136" s="34"/>
      <c r="EL136" s="32"/>
    </row>
    <row r="137" spans="74:142" x14ac:dyDescent="0.25">
      <c r="BV137" s="255" t="str">
        <f t="shared" si="116"/>
        <v>D.L8.12_15T.1200102</v>
      </c>
      <c r="BW137" s="32" t="s">
        <v>502</v>
      </c>
      <c r="BX137" s="32" t="s">
        <v>730</v>
      </c>
      <c r="BY137" s="32" t="s">
        <v>723</v>
      </c>
      <c r="BZ137" s="32">
        <v>1200102</v>
      </c>
      <c r="CA137" s="32">
        <v>989</v>
      </c>
      <c r="CB137" s="257"/>
      <c r="CC137" s="243" t="s">
        <v>1203</v>
      </c>
      <c r="CD137" s="314">
        <v>40</v>
      </c>
      <c r="CE137" s="257"/>
      <c r="CF137" s="290" t="str">
        <f t="shared" si="119"/>
        <v>LF LX 1210401</v>
      </c>
      <c r="CG137" s="234" t="s">
        <v>596</v>
      </c>
      <c r="CH137" s="42">
        <v>2000</v>
      </c>
      <c r="CI137" s="42">
        <v>900</v>
      </c>
      <c r="CJ137" s="42">
        <v>850</v>
      </c>
      <c r="CK137" s="42">
        <v>937.5</v>
      </c>
      <c r="CL137" s="42">
        <v>750</v>
      </c>
      <c r="CM137" s="42">
        <v>750</v>
      </c>
      <c r="CN137" s="257">
        <v>1210401</v>
      </c>
      <c r="CO137" s="290" t="s">
        <v>1171</v>
      </c>
      <c r="CS137" s="107"/>
      <c r="CT137" s="80"/>
      <c r="CU137" s="80"/>
      <c r="CV137" s="80"/>
      <c r="CW137" s="80"/>
      <c r="CX137" s="80"/>
      <c r="CY137" s="80"/>
      <c r="CZ137" s="80"/>
      <c r="DA137" s="80"/>
      <c r="DB137" s="80"/>
      <c r="DC137" s="80"/>
      <c r="DQ137" s="33"/>
      <c r="DR137" s="32"/>
      <c r="DS137" s="32"/>
      <c r="DT137" s="32"/>
      <c r="DU137" s="19"/>
      <c r="EI137" s="46"/>
      <c r="EJ137" s="32"/>
      <c r="EK137" s="34"/>
      <c r="EL137" s="32"/>
    </row>
    <row r="138" spans="74:142" x14ac:dyDescent="0.25">
      <c r="BV138" s="255" t="str">
        <f t="shared" si="116"/>
        <v>D.L8.13_14T.1200102</v>
      </c>
      <c r="BW138" s="32" t="s">
        <v>502</v>
      </c>
      <c r="BX138" s="32" t="s">
        <v>730</v>
      </c>
      <c r="BY138" s="32" t="s">
        <v>721</v>
      </c>
      <c r="BZ138" s="32">
        <v>1200102</v>
      </c>
      <c r="CA138" s="32">
        <v>887</v>
      </c>
      <c r="CB138" s="257"/>
      <c r="CC138" s="243" t="s">
        <v>1204</v>
      </c>
      <c r="CD138" s="314">
        <v>40</v>
      </c>
      <c r="CE138" s="257"/>
      <c r="CF138" s="290" t="str">
        <f t="shared" si="119"/>
        <v>LT LX 1210401</v>
      </c>
      <c r="CG138" s="234" t="s">
        <v>595</v>
      </c>
      <c r="CH138" s="42">
        <v>1944</v>
      </c>
      <c r="CI138" s="42">
        <v>874.8</v>
      </c>
      <c r="CJ138" s="42">
        <v>826.2</v>
      </c>
      <c r="CK138" s="42">
        <v>911.25</v>
      </c>
      <c r="CL138" s="42">
        <v>729</v>
      </c>
      <c r="CM138" s="42">
        <v>729</v>
      </c>
      <c r="CN138" s="257">
        <v>1210401</v>
      </c>
      <c r="CO138" s="290" t="s">
        <v>1172</v>
      </c>
      <c r="CS138" s="107"/>
      <c r="CT138" s="80"/>
      <c r="CU138" s="80"/>
      <c r="CV138" s="80"/>
      <c r="CW138" s="80"/>
      <c r="CX138" s="80"/>
      <c r="CY138" s="80"/>
      <c r="CZ138" s="80"/>
      <c r="DA138" s="80"/>
      <c r="DB138" s="80"/>
      <c r="DC138" s="80"/>
      <c r="DQ138" s="33"/>
      <c r="DR138" s="32"/>
      <c r="DS138" s="32"/>
      <c r="DT138" s="32"/>
      <c r="DU138" s="19"/>
      <c r="EI138" s="46"/>
      <c r="EJ138" s="32"/>
      <c r="EK138" s="34"/>
      <c r="EL138" s="32"/>
    </row>
    <row r="139" spans="74:142" x14ac:dyDescent="0.25">
      <c r="BV139" s="255" t="str">
        <f t="shared" si="116"/>
        <v>D.L8.13_15T.1200102</v>
      </c>
      <c r="BW139" s="32" t="s">
        <v>502</v>
      </c>
      <c r="BX139" s="32" t="s">
        <v>730</v>
      </c>
      <c r="BY139" s="32" t="s">
        <v>724</v>
      </c>
      <c r="BZ139" s="32">
        <v>1200102</v>
      </c>
      <c r="CA139" s="32">
        <v>989</v>
      </c>
      <c r="CB139" s="257"/>
      <c r="CC139" s="243" t="s">
        <v>1205</v>
      </c>
      <c r="CD139" s="314">
        <v>40</v>
      </c>
      <c r="CE139" s="257"/>
      <c r="CF139" s="290" t="str">
        <f t="shared" si="119"/>
        <v>LS LX 1210401</v>
      </c>
      <c r="CG139" s="234" t="s">
        <v>597</v>
      </c>
      <c r="CH139" s="42">
        <v>1304</v>
      </c>
      <c r="CI139" s="42">
        <v>586.79999999999995</v>
      </c>
      <c r="CJ139" s="42">
        <v>554.20000000000005</v>
      </c>
      <c r="CK139" s="42">
        <v>611.25</v>
      </c>
      <c r="CL139" s="42">
        <v>489</v>
      </c>
      <c r="CM139" s="42">
        <v>489</v>
      </c>
      <c r="CN139" s="257">
        <v>1210401</v>
      </c>
      <c r="CO139" s="290" t="s">
        <v>1173</v>
      </c>
      <c r="CS139" s="107"/>
      <c r="CT139" s="80"/>
      <c r="CU139" s="80"/>
      <c r="CV139" s="80"/>
      <c r="CW139" s="80"/>
      <c r="CX139" s="80"/>
      <c r="CY139" s="80"/>
      <c r="CZ139" s="80"/>
      <c r="DA139" s="80"/>
      <c r="DB139" s="80"/>
      <c r="DC139" s="80"/>
      <c r="DQ139" s="33"/>
      <c r="DR139" s="32"/>
      <c r="DS139" s="32"/>
      <c r="DT139" s="32"/>
      <c r="DU139" s="19"/>
      <c r="EI139" s="46"/>
      <c r="EJ139" s="32"/>
      <c r="EK139" s="34"/>
      <c r="EL139" s="32"/>
    </row>
    <row r="140" spans="74:142" x14ac:dyDescent="0.25">
      <c r="BV140" s="255" t="str">
        <f t="shared" si="116"/>
        <v>D.L8.13_16T.1200102</v>
      </c>
      <c r="BW140" s="32" t="s">
        <v>502</v>
      </c>
      <c r="BX140" s="32" t="s">
        <v>730</v>
      </c>
      <c r="BY140" s="355" t="s">
        <v>726</v>
      </c>
      <c r="BZ140" s="32">
        <v>1200102</v>
      </c>
      <c r="CA140" s="32">
        <v>989</v>
      </c>
      <c r="CB140" s="257"/>
      <c r="CE140" s="257"/>
      <c r="CF140" s="290" t="str">
        <f t="shared" si="119"/>
        <v>LB LM 1210401</v>
      </c>
      <c r="CG140" s="234" t="s">
        <v>590</v>
      </c>
      <c r="CH140" s="42">
        <v>1840</v>
      </c>
      <c r="CI140" s="42">
        <v>828</v>
      </c>
      <c r="CJ140" s="42">
        <v>782</v>
      </c>
      <c r="CK140" s="42">
        <v>862.5</v>
      </c>
      <c r="CL140" s="42">
        <v>690</v>
      </c>
      <c r="CM140" s="42">
        <v>690</v>
      </c>
      <c r="CN140" s="257">
        <v>1210401</v>
      </c>
      <c r="CO140" s="290" t="s">
        <v>1174</v>
      </c>
      <c r="CS140" s="107"/>
      <c r="CT140" s="80"/>
      <c r="CU140" s="80"/>
      <c r="CV140" s="80"/>
      <c r="CW140" s="80"/>
      <c r="CX140" s="80"/>
      <c r="CY140" s="80"/>
      <c r="CZ140" s="80"/>
      <c r="DA140" s="80"/>
      <c r="DB140" s="80"/>
      <c r="DC140" s="80"/>
      <c r="DQ140" s="33"/>
      <c r="DR140" s="32"/>
      <c r="DS140" s="32"/>
      <c r="DT140" s="34"/>
      <c r="DU140" s="19"/>
      <c r="EI140" s="46"/>
      <c r="EJ140" s="32"/>
      <c r="EK140" s="34"/>
      <c r="EL140" s="32"/>
    </row>
    <row r="141" spans="74:142" x14ac:dyDescent="0.25">
      <c r="BV141" s="255" t="str">
        <f t="shared" si="116"/>
        <v>D.L8.14_14T.1200102</v>
      </c>
      <c r="BW141" s="32" t="s">
        <v>502</v>
      </c>
      <c r="BX141" s="32" t="s">
        <v>730</v>
      </c>
      <c r="BY141" s="32" t="s">
        <v>722</v>
      </c>
      <c r="BZ141" s="32">
        <v>1200102</v>
      </c>
      <c r="CA141" s="32">
        <v>887</v>
      </c>
      <c r="CB141" s="257"/>
      <c r="CC141" s="260"/>
      <c r="CD141" s="257"/>
      <c r="CE141" s="257"/>
      <c r="CF141" s="290" t="str">
        <f t="shared" si="119"/>
        <v>LF LM 1210401</v>
      </c>
      <c r="CG141" s="234" t="s">
        <v>592</v>
      </c>
      <c r="CH141" s="42">
        <v>1200</v>
      </c>
      <c r="CI141" s="42">
        <v>540</v>
      </c>
      <c r="CJ141" s="42">
        <v>510</v>
      </c>
      <c r="CK141" s="42">
        <v>562.5</v>
      </c>
      <c r="CL141" s="42">
        <v>450</v>
      </c>
      <c r="CM141" s="42">
        <v>450</v>
      </c>
      <c r="CN141" s="257">
        <v>1210401</v>
      </c>
      <c r="CO141" s="290" t="s">
        <v>1175</v>
      </c>
      <c r="CS141" s="107"/>
      <c r="CT141" s="330"/>
      <c r="CU141" s="80"/>
      <c r="CV141" s="80"/>
      <c r="CW141" s="80"/>
      <c r="CX141" s="80"/>
      <c r="CY141" s="80"/>
      <c r="CZ141" s="80"/>
      <c r="DA141" s="80"/>
      <c r="DB141" s="80"/>
      <c r="DC141" s="80"/>
      <c r="DQ141" s="33"/>
      <c r="DR141" s="32"/>
      <c r="DS141" s="32"/>
      <c r="DT141" s="32"/>
      <c r="DU141" s="19"/>
      <c r="EI141" s="46"/>
      <c r="EJ141" s="32"/>
      <c r="EK141" s="34"/>
      <c r="EL141" s="32"/>
    </row>
    <row r="142" spans="74:142" x14ac:dyDescent="0.25">
      <c r="BV142" s="255" t="str">
        <f t="shared" si="116"/>
        <v>D.L8.14_15T.1200102</v>
      </c>
      <c r="BW142" s="32" t="s">
        <v>502</v>
      </c>
      <c r="BX142" s="32" t="s">
        <v>730</v>
      </c>
      <c r="BY142" s="32" t="s">
        <v>725</v>
      </c>
      <c r="BZ142" s="32">
        <v>1200102</v>
      </c>
      <c r="CA142" s="32">
        <v>989</v>
      </c>
      <c r="CB142" s="257"/>
      <c r="CC142" s="260"/>
      <c r="CD142" s="257"/>
      <c r="CE142" s="257"/>
      <c r="CF142" s="290" t="str">
        <f t="shared" si="119"/>
        <v>LT LM 1210401</v>
      </c>
      <c r="CG142" s="234" t="s">
        <v>591</v>
      </c>
      <c r="CH142" s="42">
        <v>880</v>
      </c>
      <c r="CI142" s="42">
        <v>396</v>
      </c>
      <c r="CJ142" s="42">
        <v>374</v>
      </c>
      <c r="CK142" s="42">
        <v>412.5</v>
      </c>
      <c r="CL142" s="42">
        <v>330</v>
      </c>
      <c r="CM142" s="42">
        <v>330</v>
      </c>
      <c r="CN142" s="257">
        <v>1210401</v>
      </c>
      <c r="CO142" s="290" t="s">
        <v>1176</v>
      </c>
      <c r="CS142" s="107"/>
      <c r="CT142" s="330"/>
      <c r="CU142" s="80"/>
      <c r="CV142" s="80"/>
      <c r="CW142" s="80"/>
      <c r="CX142" s="80"/>
      <c r="CY142" s="80"/>
      <c r="CZ142" s="80"/>
      <c r="DA142" s="80"/>
      <c r="DB142" s="80"/>
      <c r="DC142" s="80"/>
      <c r="DE142" s="327"/>
      <c r="DQ142" s="33"/>
      <c r="DR142" s="32"/>
      <c r="DS142" s="32"/>
      <c r="DT142" s="32"/>
      <c r="DU142" s="19"/>
      <c r="EI142" s="46"/>
      <c r="EJ142" s="32"/>
      <c r="EK142" s="34"/>
      <c r="EL142" s="32"/>
    </row>
    <row r="143" spans="74:142" x14ac:dyDescent="0.25">
      <c r="BV143" s="255" t="str">
        <f t="shared" si="116"/>
        <v>D.L8.14_16T.1200102</v>
      </c>
      <c r="BW143" s="32" t="s">
        <v>502</v>
      </c>
      <c r="BX143" s="32" t="s">
        <v>730</v>
      </c>
      <c r="BY143" s="32" t="s">
        <v>727</v>
      </c>
      <c r="BZ143" s="32">
        <v>1200102</v>
      </c>
      <c r="CA143" s="32">
        <v>989</v>
      </c>
      <c r="CB143" s="257"/>
      <c r="CC143" s="261" t="s">
        <v>1061</v>
      </c>
      <c r="CD143" s="257"/>
      <c r="CE143" s="257"/>
      <c r="CF143" s="290" t="str">
        <f t="shared" si="119"/>
        <v>LS LM 1210401</v>
      </c>
      <c r="CG143" s="234" t="s">
        <v>593</v>
      </c>
      <c r="CH143" s="42">
        <v>840</v>
      </c>
      <c r="CI143" s="42">
        <v>378</v>
      </c>
      <c r="CJ143" s="42">
        <v>357</v>
      </c>
      <c r="CK143" s="42">
        <v>393.75</v>
      </c>
      <c r="CL143" s="42">
        <v>315</v>
      </c>
      <c r="CM143" s="42">
        <v>315</v>
      </c>
      <c r="CN143" s="257">
        <v>1210401</v>
      </c>
      <c r="CO143" s="290" t="s">
        <v>1177</v>
      </c>
      <c r="CS143" s="107"/>
      <c r="CT143" s="330"/>
      <c r="CU143" s="80"/>
      <c r="CV143" s="80"/>
      <c r="CW143" s="80"/>
      <c r="CX143" s="80"/>
      <c r="CY143" s="80"/>
      <c r="CZ143" s="80"/>
      <c r="DA143" s="80"/>
      <c r="DB143" s="80"/>
      <c r="DC143" s="80"/>
      <c r="DE143" s="327"/>
      <c r="DQ143" s="33"/>
      <c r="DR143" s="32"/>
      <c r="DS143" s="32"/>
      <c r="DT143" s="32"/>
      <c r="DU143" s="19"/>
      <c r="EI143" s="46"/>
      <c r="EJ143" s="32"/>
      <c r="EK143" s="34"/>
      <c r="EL143" s="32"/>
    </row>
    <row r="144" spans="74:142" x14ac:dyDescent="0.25">
      <c r="BV144" s="255" t="str">
        <f t="shared" si="116"/>
        <v>D.L8.15_16T.1200102</v>
      </c>
      <c r="BW144" s="32" t="s">
        <v>502</v>
      </c>
      <c r="BX144" s="32" t="s">
        <v>730</v>
      </c>
      <c r="BY144" s="355" t="s">
        <v>728</v>
      </c>
      <c r="BZ144" s="32">
        <v>1200102</v>
      </c>
      <c r="CA144" s="32">
        <v>989</v>
      </c>
      <c r="CB144" s="257"/>
      <c r="CC144" s="260" t="s">
        <v>1082</v>
      </c>
      <c r="CD144" s="257"/>
      <c r="CE144" s="257"/>
      <c r="CF144" s="290" t="str">
        <f t="shared" si="119"/>
        <v>LB LO 1210401</v>
      </c>
      <c r="CG144" s="234" t="s">
        <v>911</v>
      </c>
      <c r="CH144" s="42">
        <v>1569</v>
      </c>
      <c r="CI144" s="42">
        <v>706.05</v>
      </c>
      <c r="CJ144" s="42">
        <v>666.83</v>
      </c>
      <c r="CK144" s="42">
        <v>735.48</v>
      </c>
      <c r="CL144" s="42">
        <v>588.38</v>
      </c>
      <c r="CM144" s="42">
        <v>588.38</v>
      </c>
      <c r="CN144" s="257">
        <v>1210401</v>
      </c>
      <c r="CO144" s="290" t="s">
        <v>1178</v>
      </c>
      <c r="CS144" s="107"/>
      <c r="CT144" s="80"/>
      <c r="CU144" s="80"/>
      <c r="CV144" s="80"/>
      <c r="CW144" s="80"/>
      <c r="CX144" s="80"/>
      <c r="CY144" s="80"/>
      <c r="CZ144" s="80"/>
      <c r="DA144" s="80"/>
      <c r="DB144" s="80"/>
      <c r="DC144" s="80"/>
      <c r="DQ144" s="33"/>
      <c r="DR144" s="32"/>
      <c r="DS144" s="32"/>
      <c r="DT144" s="32"/>
      <c r="DU144" s="19"/>
      <c r="EI144" s="46"/>
      <c r="EJ144" s="32"/>
      <c r="EK144" s="34"/>
      <c r="EL144" s="32"/>
    </row>
    <row r="145" spans="74:142" x14ac:dyDescent="0.25">
      <c r="BV145" s="255" t="str">
        <f t="shared" si="116"/>
        <v>D.L8.16_16T.1200102</v>
      </c>
      <c r="BW145" s="32" t="s">
        <v>502</v>
      </c>
      <c r="BX145" s="32" t="s">
        <v>730</v>
      </c>
      <c r="BY145" s="32" t="s">
        <v>729</v>
      </c>
      <c r="BZ145" s="32">
        <v>1200102</v>
      </c>
      <c r="CA145" s="32">
        <v>989</v>
      </c>
      <c r="CB145" s="257"/>
      <c r="CC145" s="263" t="s">
        <v>1062</v>
      </c>
      <c r="CD145" s="314">
        <v>0</v>
      </c>
      <c r="CE145" s="264"/>
      <c r="CF145" s="290" t="str">
        <f t="shared" si="119"/>
        <v>LF LO 1210401</v>
      </c>
      <c r="CG145" s="234" t="s">
        <v>913</v>
      </c>
      <c r="CH145" s="42">
        <v>989</v>
      </c>
      <c r="CI145" s="42">
        <v>445.05</v>
      </c>
      <c r="CJ145" s="42">
        <v>420.33</v>
      </c>
      <c r="CK145" s="42">
        <v>463.6</v>
      </c>
      <c r="CL145" s="42">
        <v>370.88</v>
      </c>
      <c r="CM145" s="42">
        <v>370.88</v>
      </c>
      <c r="CN145" s="257">
        <v>1210401</v>
      </c>
      <c r="CO145" s="290" t="s">
        <v>1179</v>
      </c>
      <c r="CS145" s="107"/>
      <c r="CT145" s="80"/>
      <c r="CU145" s="80"/>
      <c r="CV145" s="80"/>
      <c r="CW145" s="80"/>
      <c r="CX145" s="80"/>
      <c r="CY145" s="80"/>
      <c r="CZ145" s="80"/>
      <c r="DA145" s="80"/>
      <c r="DB145" s="80"/>
      <c r="DC145" s="80"/>
      <c r="DQ145" s="36"/>
      <c r="DR145" s="32"/>
      <c r="DS145" s="32"/>
      <c r="DT145" s="32"/>
      <c r="DU145" s="19"/>
      <c r="EI145" s="46"/>
      <c r="EJ145" s="32"/>
      <c r="EK145" s="34"/>
      <c r="EL145" s="32"/>
    </row>
    <row r="146" spans="74:142" x14ac:dyDescent="0.25">
      <c r="BV146" s="255" t="str">
        <f t="shared" si="116"/>
        <v>D.L8.16_18T.1200102</v>
      </c>
      <c r="BW146" s="32" t="s">
        <v>502</v>
      </c>
      <c r="BX146" s="32" t="s">
        <v>730</v>
      </c>
      <c r="BY146" s="32" t="s">
        <v>734</v>
      </c>
      <c r="BZ146" s="32">
        <v>1200102</v>
      </c>
      <c r="CA146" s="32">
        <v>989</v>
      </c>
      <c r="CB146" s="257"/>
      <c r="CC146" s="263" t="s">
        <v>1063</v>
      </c>
      <c r="CD146" s="314">
        <v>0</v>
      </c>
      <c r="CE146" s="264"/>
      <c r="CF146" s="290" t="str">
        <f t="shared" si="119"/>
        <v>LT LO 1210401</v>
      </c>
      <c r="CG146" s="234" t="s">
        <v>912</v>
      </c>
      <c r="CH146" s="42">
        <v>689</v>
      </c>
      <c r="CI146" s="42">
        <v>310.05</v>
      </c>
      <c r="CJ146" s="42">
        <v>292.83</v>
      </c>
      <c r="CK146" s="42">
        <v>322.98</v>
      </c>
      <c r="CL146" s="42">
        <v>258.38</v>
      </c>
      <c r="CM146" s="42">
        <v>258.38</v>
      </c>
      <c r="CN146" s="257">
        <v>1210401</v>
      </c>
      <c r="CO146" s="290" t="s">
        <v>1180</v>
      </c>
      <c r="CS146" s="107"/>
      <c r="CT146" s="107"/>
      <c r="CU146" s="80"/>
      <c r="CV146" s="107"/>
      <c r="CW146" s="107"/>
      <c r="CX146" s="107"/>
      <c r="CY146" s="107"/>
      <c r="CZ146" s="107"/>
      <c r="DA146" s="107"/>
      <c r="DB146" s="107"/>
      <c r="DC146" s="107"/>
      <c r="DQ146" s="33"/>
      <c r="DR146" s="32"/>
      <c r="DS146" s="32"/>
      <c r="DT146" s="34"/>
      <c r="DU146" s="19"/>
      <c r="EI146" s="46"/>
      <c r="EJ146" s="32"/>
      <c r="EK146" s="34"/>
      <c r="EL146" s="32"/>
    </row>
    <row r="147" spans="74:142" x14ac:dyDescent="0.25">
      <c r="BV147" s="255" t="str">
        <f t="shared" si="116"/>
        <v>D.L8.6_6T.1200102</v>
      </c>
      <c r="BW147" s="32" t="s">
        <v>502</v>
      </c>
      <c r="BX147" s="32" t="s">
        <v>730</v>
      </c>
      <c r="BY147" s="32" t="s">
        <v>735</v>
      </c>
      <c r="BZ147" s="32">
        <v>1200102</v>
      </c>
      <c r="CA147" s="32">
        <v>601</v>
      </c>
      <c r="CB147" s="257"/>
      <c r="CC147" s="263" t="s">
        <v>1064</v>
      </c>
      <c r="CD147" s="314">
        <v>0</v>
      </c>
      <c r="CE147" s="264"/>
      <c r="CF147" s="290" t="str">
        <f t="shared" si="119"/>
        <v>LS LO 1210401</v>
      </c>
      <c r="CG147" s="234" t="s">
        <v>957</v>
      </c>
      <c r="CH147" s="42">
        <v>689</v>
      </c>
      <c r="CI147" s="42">
        <v>310.05</v>
      </c>
      <c r="CJ147" s="42">
        <v>292.83</v>
      </c>
      <c r="CK147" s="42">
        <v>322.98</v>
      </c>
      <c r="CL147" s="42">
        <v>258.38</v>
      </c>
      <c r="CM147" s="42">
        <v>258.38</v>
      </c>
      <c r="CN147" s="257">
        <v>1210401</v>
      </c>
      <c r="CO147" s="290" t="s">
        <v>1181</v>
      </c>
      <c r="CU147" s="326"/>
      <c r="DQ147" s="33"/>
      <c r="DR147" s="32"/>
      <c r="DS147" s="32"/>
      <c r="DT147" s="34"/>
      <c r="DU147" s="19"/>
      <c r="EI147" s="46"/>
      <c r="EJ147" s="32"/>
      <c r="EK147" s="34"/>
      <c r="EL147" s="32"/>
    </row>
    <row r="148" spans="74:142" x14ac:dyDescent="0.25">
      <c r="BV148" s="255" t="str">
        <f t="shared" si="116"/>
        <v>D.L8.6_8T.1200102</v>
      </c>
      <c r="BW148" s="32" t="s">
        <v>502</v>
      </c>
      <c r="BX148" s="32" t="s">
        <v>730</v>
      </c>
      <c r="BY148" s="32" t="s">
        <v>736</v>
      </c>
      <c r="BZ148" s="32">
        <v>1200102</v>
      </c>
      <c r="CA148" s="32">
        <v>601</v>
      </c>
      <c r="CB148" s="257"/>
      <c r="CC148" s="263" t="s">
        <v>1065</v>
      </c>
      <c r="CD148" s="314">
        <v>0</v>
      </c>
      <c r="CE148" s="264"/>
      <c r="CG148" s="14"/>
      <c r="CH148" s="24">
        <f t="shared" ref="CH148:CM148" si="120">+CH128-CH108</f>
        <v>0</v>
      </c>
      <c r="CI148" s="353">
        <f t="shared" si="120"/>
        <v>0</v>
      </c>
      <c r="CJ148" s="353">
        <f t="shared" si="120"/>
        <v>0</v>
      </c>
      <c r="CK148" s="353">
        <f t="shared" si="120"/>
        <v>0</v>
      </c>
      <c r="CL148" s="353">
        <f t="shared" si="120"/>
        <v>0</v>
      </c>
      <c r="CM148" s="353">
        <f t="shared" si="120"/>
        <v>0</v>
      </c>
      <c r="CN148" s="353" t="s">
        <v>1278</v>
      </c>
      <c r="DQ148" s="33"/>
      <c r="DR148" s="32"/>
      <c r="DS148" s="32"/>
      <c r="DT148" s="32"/>
      <c r="DU148" s="19"/>
      <c r="EI148" s="46"/>
      <c r="EJ148" s="32"/>
      <c r="EK148" s="34"/>
      <c r="EL148" s="32"/>
    </row>
    <row r="149" spans="74:142" x14ac:dyDescent="0.25">
      <c r="BV149" s="255" t="str">
        <f t="shared" si="116"/>
        <v>D.L8.7_10T.1200102</v>
      </c>
      <c r="BW149" s="32" t="s">
        <v>502</v>
      </c>
      <c r="BX149" s="32" t="s">
        <v>730</v>
      </c>
      <c r="BY149" s="32" t="s">
        <v>668</v>
      </c>
      <c r="BZ149" s="32">
        <v>1200102</v>
      </c>
      <c r="CA149" s="32">
        <v>710</v>
      </c>
      <c r="CB149" s="257"/>
      <c r="CC149" s="263" t="s">
        <v>1066</v>
      </c>
      <c r="CD149" s="314">
        <v>0</v>
      </c>
      <c r="CE149" s="264"/>
      <c r="CG149" s="14"/>
      <c r="CH149" s="353">
        <f t="shared" ref="CH149:CM149" si="121">+CH129-CH109</f>
        <v>0</v>
      </c>
      <c r="CI149" s="353">
        <f t="shared" si="121"/>
        <v>0</v>
      </c>
      <c r="CJ149" s="353">
        <f t="shared" si="121"/>
        <v>0</v>
      </c>
      <c r="CK149" s="353">
        <f t="shared" si="121"/>
        <v>0</v>
      </c>
      <c r="CL149" s="353">
        <f t="shared" si="121"/>
        <v>0</v>
      </c>
      <c r="CM149" s="353">
        <f t="shared" si="121"/>
        <v>0</v>
      </c>
      <c r="CN149" s="353" t="s">
        <v>1278</v>
      </c>
      <c r="DQ149" s="33"/>
      <c r="DR149" s="32"/>
      <c r="DS149" s="32"/>
      <c r="DT149" s="34"/>
      <c r="DU149" s="19"/>
      <c r="EI149" s="46"/>
      <c r="EJ149" s="32"/>
      <c r="EK149" s="34"/>
      <c r="EL149" s="32"/>
    </row>
    <row r="150" spans="74:142" x14ac:dyDescent="0.25">
      <c r="BV150" s="255" t="str">
        <f t="shared" ref="BV150:BV213" si="122">CONCATENATE(BW150,".",BX150,".",BY150,".",BZ150)</f>
        <v>D.L8.7_6T.1200102</v>
      </c>
      <c r="BW150" s="32" t="s">
        <v>502</v>
      </c>
      <c r="BX150" s="32" t="s">
        <v>730</v>
      </c>
      <c r="BY150" s="32" t="s">
        <v>664</v>
      </c>
      <c r="BZ150" s="32">
        <v>1200102</v>
      </c>
      <c r="CA150" s="32">
        <v>601</v>
      </c>
      <c r="CB150" s="257"/>
      <c r="CC150" s="263" t="s">
        <v>1067</v>
      </c>
      <c r="CD150" s="314">
        <v>100</v>
      </c>
      <c r="CE150" s="264"/>
      <c r="CH150" s="353">
        <f t="shared" ref="CH150:CM150" si="123">+CH130-CH110</f>
        <v>0</v>
      </c>
      <c r="CI150" s="353">
        <f t="shared" si="123"/>
        <v>0</v>
      </c>
      <c r="CJ150" s="353">
        <f t="shared" si="123"/>
        <v>0</v>
      </c>
      <c r="CK150" s="353">
        <f t="shared" si="123"/>
        <v>0</v>
      </c>
      <c r="CL150" s="353">
        <f t="shared" si="123"/>
        <v>0</v>
      </c>
      <c r="CM150" s="353">
        <f t="shared" si="123"/>
        <v>0</v>
      </c>
      <c r="CN150" s="353" t="s">
        <v>1278</v>
      </c>
      <c r="DQ150" s="33"/>
      <c r="DR150" s="32"/>
      <c r="DS150" s="32"/>
      <c r="DT150" s="34"/>
      <c r="DU150" s="19"/>
      <c r="EI150" s="46"/>
      <c r="EJ150" s="32"/>
      <c r="EK150" s="34"/>
      <c r="EL150" s="32"/>
    </row>
    <row r="151" spans="74:142" x14ac:dyDescent="0.25">
      <c r="BV151" s="255" t="str">
        <f t="shared" si="122"/>
        <v>D.L8.7_8T.1200102</v>
      </c>
      <c r="BW151" s="32" t="s">
        <v>502</v>
      </c>
      <c r="BX151" s="32" t="s">
        <v>730</v>
      </c>
      <c r="BY151" s="32" t="s">
        <v>666</v>
      </c>
      <c r="BZ151" s="32">
        <v>1200102</v>
      </c>
      <c r="CA151" s="32">
        <v>601</v>
      </c>
      <c r="CB151" s="257"/>
      <c r="CC151" s="263" t="s">
        <v>1068</v>
      </c>
      <c r="CD151" s="314">
        <v>100</v>
      </c>
      <c r="CE151" s="264"/>
      <c r="CH151" s="353">
        <f t="shared" ref="CH151:CM151" si="124">+CH131-CH111</f>
        <v>0</v>
      </c>
      <c r="CI151" s="353">
        <f t="shared" si="124"/>
        <v>0</v>
      </c>
      <c r="CJ151" s="353">
        <f t="shared" si="124"/>
        <v>0</v>
      </c>
      <c r="CK151" s="353">
        <f t="shared" si="124"/>
        <v>0</v>
      </c>
      <c r="CL151" s="353">
        <f t="shared" si="124"/>
        <v>0</v>
      </c>
      <c r="CM151" s="353">
        <f t="shared" si="124"/>
        <v>0</v>
      </c>
      <c r="CN151" s="353" t="s">
        <v>1278</v>
      </c>
      <c r="DQ151" s="36"/>
      <c r="DR151" s="32"/>
      <c r="DS151" s="32"/>
      <c r="DT151" s="34"/>
      <c r="DU151" s="19"/>
      <c r="EI151" s="46"/>
      <c r="EJ151" s="32"/>
      <c r="EK151" s="34"/>
      <c r="EL151" s="32"/>
    </row>
    <row r="152" spans="74:142" x14ac:dyDescent="0.25">
      <c r="BV152" s="255" t="str">
        <f t="shared" si="122"/>
        <v>D.L8.7H_10T.1200102</v>
      </c>
      <c r="BW152" s="32" t="s">
        <v>502</v>
      </c>
      <c r="BX152" s="32" t="s">
        <v>730</v>
      </c>
      <c r="BY152" s="32" t="s">
        <v>674</v>
      </c>
      <c r="BZ152" s="32">
        <v>1200102</v>
      </c>
      <c r="CA152" s="32">
        <v>710</v>
      </c>
      <c r="CB152" s="257"/>
      <c r="CC152" s="263" t="s">
        <v>1069</v>
      </c>
      <c r="CD152" s="314">
        <v>100</v>
      </c>
      <c r="CE152" s="264"/>
      <c r="CH152" s="353">
        <f t="shared" ref="CH152:CM152" si="125">+CH132-CH112</f>
        <v>0</v>
      </c>
      <c r="CI152" s="353">
        <f t="shared" si="125"/>
        <v>0</v>
      </c>
      <c r="CJ152" s="353">
        <f t="shared" si="125"/>
        <v>0</v>
      </c>
      <c r="CK152" s="353">
        <f t="shared" si="125"/>
        <v>0</v>
      </c>
      <c r="CL152" s="353">
        <f t="shared" si="125"/>
        <v>0</v>
      </c>
      <c r="CM152" s="353">
        <f t="shared" si="125"/>
        <v>0</v>
      </c>
      <c r="CN152" s="353" t="s">
        <v>1278</v>
      </c>
      <c r="DQ152" s="36"/>
      <c r="DR152" s="32"/>
      <c r="DS152" s="32"/>
      <c r="DT152" s="34"/>
      <c r="DU152" s="19"/>
      <c r="EI152" s="46"/>
      <c r="EJ152" s="32"/>
      <c r="EK152" s="34"/>
      <c r="EL152" s="32"/>
    </row>
    <row r="153" spans="74:142" x14ac:dyDescent="0.25">
      <c r="BV153" s="255" t="str">
        <f t="shared" si="122"/>
        <v>D.L8.8_10T.1200102</v>
      </c>
      <c r="BW153" s="32" t="s">
        <v>502</v>
      </c>
      <c r="BX153" s="32" t="s">
        <v>730</v>
      </c>
      <c r="BY153" s="32" t="s">
        <v>669</v>
      </c>
      <c r="BZ153" s="32">
        <v>1200102</v>
      </c>
      <c r="CA153" s="32">
        <v>710</v>
      </c>
      <c r="CB153" s="257"/>
      <c r="CC153" s="263" t="s">
        <v>1070</v>
      </c>
      <c r="CD153" s="314">
        <v>0</v>
      </c>
      <c r="CE153" s="264"/>
      <c r="CG153" s="14" t="s">
        <v>1185</v>
      </c>
      <c r="CH153" s="353">
        <f t="shared" ref="CH153:CM153" si="126">+CH133-CH113</f>
        <v>0</v>
      </c>
      <c r="CI153" s="353">
        <f t="shared" si="126"/>
        <v>0</v>
      </c>
      <c r="CJ153" s="353">
        <f t="shared" si="126"/>
        <v>0</v>
      </c>
      <c r="CK153" s="353">
        <f t="shared" si="126"/>
        <v>0</v>
      </c>
      <c r="CL153" s="353">
        <f t="shared" si="126"/>
        <v>0</v>
      </c>
      <c r="CM153" s="353">
        <f t="shared" si="126"/>
        <v>0</v>
      </c>
      <c r="CN153" s="353" t="s">
        <v>1278</v>
      </c>
      <c r="DQ153" s="33"/>
      <c r="DR153" s="32"/>
      <c r="DS153" s="32"/>
      <c r="DT153" s="34"/>
      <c r="DU153" s="19"/>
      <c r="EI153" s="46"/>
      <c r="EJ153" s="32"/>
      <c r="EK153" s="34"/>
      <c r="EL153" s="32"/>
    </row>
    <row r="154" spans="74:142" x14ac:dyDescent="0.25">
      <c r="BV154" s="255" t="str">
        <f t="shared" si="122"/>
        <v>D.L8.8_12T.1200102</v>
      </c>
      <c r="BW154" s="32" t="s">
        <v>502</v>
      </c>
      <c r="BX154" s="32" t="s">
        <v>730</v>
      </c>
      <c r="BY154" s="32" t="s">
        <v>671</v>
      </c>
      <c r="BZ154" s="32">
        <v>1200102</v>
      </c>
      <c r="CA154" s="32">
        <v>725</v>
      </c>
      <c r="CB154" s="257"/>
      <c r="CC154" s="263" t="s">
        <v>1071</v>
      </c>
      <c r="CD154" s="314">
        <v>0</v>
      </c>
      <c r="CE154" s="264"/>
      <c r="CG154" s="14" t="s">
        <v>1197</v>
      </c>
      <c r="CH154" s="353">
        <f t="shared" ref="CH154:CM154" si="127">+CH134-CH114</f>
        <v>0</v>
      </c>
      <c r="CI154" s="353">
        <f t="shared" si="127"/>
        <v>0</v>
      </c>
      <c r="CJ154" s="353">
        <f t="shared" si="127"/>
        <v>0</v>
      </c>
      <c r="CK154" s="353">
        <f t="shared" si="127"/>
        <v>0</v>
      </c>
      <c r="CL154" s="353">
        <f t="shared" si="127"/>
        <v>0</v>
      </c>
      <c r="CM154" s="353">
        <f t="shared" si="127"/>
        <v>0</v>
      </c>
      <c r="CN154" s="353" t="s">
        <v>1278</v>
      </c>
      <c r="DQ154" s="36"/>
      <c r="DR154" s="32"/>
      <c r="DS154" s="32"/>
      <c r="DT154" s="34"/>
      <c r="DU154" s="19"/>
      <c r="EI154" s="46"/>
      <c r="EJ154" s="32"/>
      <c r="EK154" s="34"/>
      <c r="EL154" s="32"/>
    </row>
    <row r="155" spans="74:142" x14ac:dyDescent="0.25">
      <c r="BV155" s="255" t="str">
        <f t="shared" si="122"/>
        <v>D.L8.8_6T.1200102</v>
      </c>
      <c r="BW155" s="32" t="s">
        <v>502</v>
      </c>
      <c r="BX155" s="32" t="s">
        <v>730</v>
      </c>
      <c r="BY155" s="32" t="s">
        <v>665</v>
      </c>
      <c r="BZ155" s="32">
        <v>1200102</v>
      </c>
      <c r="CA155" s="32">
        <v>601</v>
      </c>
      <c r="CB155" s="257"/>
      <c r="CC155" s="260"/>
      <c r="CD155" s="279"/>
      <c r="CE155" s="260"/>
      <c r="CG155" s="14" t="s">
        <v>1200</v>
      </c>
      <c r="CH155" s="353">
        <f t="shared" ref="CH155:CM155" si="128">+CH135-CH115</f>
        <v>0</v>
      </c>
      <c r="CI155" s="353">
        <f t="shared" si="128"/>
        <v>0</v>
      </c>
      <c r="CJ155" s="353">
        <f t="shared" si="128"/>
        <v>0</v>
      </c>
      <c r="CK155" s="353">
        <f t="shared" si="128"/>
        <v>0</v>
      </c>
      <c r="CL155" s="353">
        <f t="shared" si="128"/>
        <v>0</v>
      </c>
      <c r="CM155" s="353">
        <f t="shared" si="128"/>
        <v>0</v>
      </c>
      <c r="CN155" s="353" t="s">
        <v>1278</v>
      </c>
      <c r="DQ155" s="36"/>
      <c r="DR155" s="32"/>
      <c r="DS155" s="32"/>
      <c r="DT155" s="32"/>
      <c r="DU155" s="19"/>
      <c r="EI155" s="46"/>
      <c r="EJ155" s="32"/>
      <c r="EK155" s="34"/>
      <c r="EL155" s="32"/>
    </row>
    <row r="156" spans="74:142" x14ac:dyDescent="0.25">
      <c r="BV156" s="255" t="str">
        <f t="shared" si="122"/>
        <v>D.L8.8_8T.1200102</v>
      </c>
      <c r="BW156" s="32" t="s">
        <v>502</v>
      </c>
      <c r="BX156" s="32" t="s">
        <v>730</v>
      </c>
      <c r="BY156" s="32" t="s">
        <v>667</v>
      </c>
      <c r="BZ156" s="32">
        <v>1200102</v>
      </c>
      <c r="CA156" s="32">
        <v>601</v>
      </c>
      <c r="CB156" s="257"/>
      <c r="CC156" s="263" t="s">
        <v>1072</v>
      </c>
      <c r="CD156" s="314">
        <v>0</v>
      </c>
      <c r="CE156" s="264"/>
      <c r="CG156" s="14" t="s">
        <v>1198</v>
      </c>
      <c r="CH156" s="353">
        <f t="shared" ref="CH156:CM156" si="129">+CH136-CH116</f>
        <v>0</v>
      </c>
      <c r="CI156" s="353">
        <f t="shared" si="129"/>
        <v>0</v>
      </c>
      <c r="CJ156" s="353">
        <f t="shared" si="129"/>
        <v>0</v>
      </c>
      <c r="CK156" s="353">
        <f t="shared" si="129"/>
        <v>0</v>
      </c>
      <c r="CL156" s="353">
        <f t="shared" si="129"/>
        <v>0</v>
      </c>
      <c r="CM156" s="353">
        <f t="shared" si="129"/>
        <v>0</v>
      </c>
      <c r="CN156" s="353" t="s">
        <v>1278</v>
      </c>
      <c r="DQ156" s="36"/>
      <c r="DR156" s="32"/>
      <c r="DS156" s="32"/>
      <c r="DT156" s="34"/>
      <c r="DU156" s="19"/>
      <c r="EI156" s="46"/>
      <c r="EJ156" s="32"/>
      <c r="EK156" s="34"/>
      <c r="EL156" s="32"/>
    </row>
    <row r="157" spans="74:142" x14ac:dyDescent="0.25">
      <c r="BV157" s="255" t="str">
        <f t="shared" si="122"/>
        <v>D.L8.9_10T.1200102</v>
      </c>
      <c r="BW157" s="32" t="s">
        <v>502</v>
      </c>
      <c r="BX157" s="32" t="s">
        <v>730</v>
      </c>
      <c r="BY157" s="32" t="s">
        <v>670</v>
      </c>
      <c r="BZ157" s="32">
        <v>1200102</v>
      </c>
      <c r="CA157" s="32">
        <v>710</v>
      </c>
      <c r="CB157" s="257"/>
      <c r="CC157" s="263" t="s">
        <v>1073</v>
      </c>
      <c r="CD157" s="314">
        <v>0</v>
      </c>
      <c r="CE157" s="264"/>
      <c r="CG157" s="14" t="s">
        <v>1201</v>
      </c>
      <c r="CH157" s="353">
        <f t="shared" ref="CH157:CM157" si="130">+CH137-CH117</f>
        <v>0</v>
      </c>
      <c r="CI157" s="353">
        <f t="shared" si="130"/>
        <v>0</v>
      </c>
      <c r="CJ157" s="353">
        <f t="shared" si="130"/>
        <v>0</v>
      </c>
      <c r="CK157" s="353">
        <f t="shared" si="130"/>
        <v>0</v>
      </c>
      <c r="CL157" s="353">
        <f t="shared" si="130"/>
        <v>0</v>
      </c>
      <c r="CM157" s="353">
        <f t="shared" si="130"/>
        <v>0</v>
      </c>
      <c r="CN157" s="353" t="s">
        <v>1278</v>
      </c>
      <c r="DQ157" s="36"/>
      <c r="DR157" s="32"/>
      <c r="DS157" s="32"/>
      <c r="DT157" s="34"/>
      <c r="DU157" s="19"/>
      <c r="EI157" s="46"/>
      <c r="EJ157" s="32"/>
      <c r="EK157" s="34"/>
      <c r="EL157" s="32"/>
    </row>
    <row r="158" spans="74:142" x14ac:dyDescent="0.25">
      <c r="BV158" s="255" t="str">
        <f t="shared" si="122"/>
        <v>D.L8.9_12T.1200102</v>
      </c>
      <c r="BW158" s="32" t="s">
        <v>502</v>
      </c>
      <c r="BX158" s="32" t="s">
        <v>730</v>
      </c>
      <c r="BY158" s="32" t="s">
        <v>672</v>
      </c>
      <c r="BZ158" s="32">
        <v>1200102</v>
      </c>
      <c r="CA158" s="32">
        <v>725</v>
      </c>
      <c r="CB158" s="257"/>
      <c r="CC158" s="263" t="s">
        <v>1074</v>
      </c>
      <c r="CD158" s="314">
        <v>0</v>
      </c>
      <c r="CE158" s="264"/>
      <c r="CG158" s="14" t="s">
        <v>1233</v>
      </c>
      <c r="CH158" s="353">
        <f t="shared" ref="CH158:CM158" si="131">+CH138-CH118</f>
        <v>0</v>
      </c>
      <c r="CI158" s="353">
        <f t="shared" si="131"/>
        <v>0</v>
      </c>
      <c r="CJ158" s="353">
        <f t="shared" si="131"/>
        <v>0</v>
      </c>
      <c r="CK158" s="353">
        <f t="shared" si="131"/>
        <v>0</v>
      </c>
      <c r="CL158" s="353">
        <f t="shared" si="131"/>
        <v>0</v>
      </c>
      <c r="CM158" s="353">
        <f t="shared" si="131"/>
        <v>0</v>
      </c>
      <c r="CN158" s="353" t="s">
        <v>1278</v>
      </c>
      <c r="DQ158" s="36"/>
      <c r="DR158" s="32"/>
      <c r="DS158" s="32"/>
      <c r="DT158" s="34"/>
      <c r="DU158" s="19"/>
      <c r="EI158" s="46"/>
      <c r="EJ158" s="32"/>
      <c r="EK158" s="34"/>
      <c r="EL158" s="32"/>
    </row>
    <row r="159" spans="74:142" x14ac:dyDescent="0.25">
      <c r="BV159" s="255" t="str">
        <f t="shared" si="122"/>
        <v>D.L8.9_13T.1200102</v>
      </c>
      <c r="BW159" s="32" t="s">
        <v>502</v>
      </c>
      <c r="BX159" s="32" t="s">
        <v>730</v>
      </c>
      <c r="BY159" s="32" t="s">
        <v>673</v>
      </c>
      <c r="BZ159" s="32">
        <v>1200102</v>
      </c>
      <c r="CA159" s="32">
        <v>790</v>
      </c>
      <c r="CB159" s="257"/>
      <c r="CC159" s="263" t="s">
        <v>1075</v>
      </c>
      <c r="CD159" s="314">
        <v>0</v>
      </c>
      <c r="CE159" s="264"/>
      <c r="CG159" s="14"/>
      <c r="CH159" s="353">
        <f t="shared" ref="CH159:CM159" si="132">+CH139-CH119</f>
        <v>0</v>
      </c>
      <c r="CI159" s="353">
        <f t="shared" si="132"/>
        <v>0</v>
      </c>
      <c r="CJ159" s="353">
        <f t="shared" si="132"/>
        <v>0</v>
      </c>
      <c r="CK159" s="353">
        <f t="shared" si="132"/>
        <v>0</v>
      </c>
      <c r="CL159" s="353">
        <f t="shared" si="132"/>
        <v>0</v>
      </c>
      <c r="CM159" s="353">
        <f t="shared" si="132"/>
        <v>0</v>
      </c>
      <c r="CN159" s="353" t="s">
        <v>1278</v>
      </c>
      <c r="DQ159" s="36"/>
      <c r="DR159" s="32"/>
      <c r="DS159" s="32"/>
      <c r="DT159" s="32"/>
      <c r="DU159" s="19"/>
      <c r="EI159" s="46"/>
      <c r="EJ159" s="32"/>
      <c r="EK159" s="34"/>
      <c r="EL159" s="32"/>
    </row>
    <row r="160" spans="74:142" x14ac:dyDescent="0.25">
      <c r="BV160" s="255" t="str">
        <f t="shared" si="122"/>
        <v>D.L8.9_14T.1200102</v>
      </c>
      <c r="BW160" s="32" t="s">
        <v>502</v>
      </c>
      <c r="BX160" s="32" t="s">
        <v>730</v>
      </c>
      <c r="BY160" s="32" t="s">
        <v>737</v>
      </c>
      <c r="BZ160" s="32">
        <v>1200102</v>
      </c>
      <c r="CA160" s="32">
        <v>887</v>
      </c>
      <c r="CB160" s="257"/>
      <c r="CC160" s="263" t="s">
        <v>1076</v>
      </c>
      <c r="CD160" s="314">
        <v>0</v>
      </c>
      <c r="CE160" s="264"/>
      <c r="CG160" s="14" t="s">
        <v>1231</v>
      </c>
      <c r="CH160" s="353">
        <f t="shared" ref="CH160:CM160" si="133">+CH140-CH120</f>
        <v>0</v>
      </c>
      <c r="CI160" s="353">
        <f t="shared" si="133"/>
        <v>0</v>
      </c>
      <c r="CJ160" s="353">
        <f t="shared" si="133"/>
        <v>0</v>
      </c>
      <c r="CK160" s="353">
        <f t="shared" si="133"/>
        <v>0</v>
      </c>
      <c r="CL160" s="353">
        <f t="shared" si="133"/>
        <v>0</v>
      </c>
      <c r="CM160" s="353">
        <f t="shared" si="133"/>
        <v>0</v>
      </c>
      <c r="CN160" s="353" t="s">
        <v>1278</v>
      </c>
      <c r="DQ160" s="33"/>
      <c r="DR160" s="32"/>
      <c r="DS160" s="32"/>
      <c r="DT160" s="32"/>
      <c r="DU160" s="19"/>
      <c r="EI160" s="46"/>
      <c r="EJ160" s="32"/>
      <c r="EK160" s="34"/>
      <c r="EL160" s="32"/>
    </row>
    <row r="161" spans="74:142" x14ac:dyDescent="0.25">
      <c r="BV161" s="255" t="str">
        <f t="shared" si="122"/>
        <v>D.LL.12_18B.1200102</v>
      </c>
      <c r="BW161" s="32" t="s">
        <v>502</v>
      </c>
      <c r="BX161" s="32" t="s">
        <v>731</v>
      </c>
      <c r="BY161" s="32" t="s">
        <v>683</v>
      </c>
      <c r="BZ161" s="32">
        <v>1200102</v>
      </c>
      <c r="CA161" s="32">
        <v>2546</v>
      </c>
      <c r="CB161" s="257"/>
      <c r="CC161" s="263" t="s">
        <v>1077</v>
      </c>
      <c r="CD161" s="314">
        <v>200</v>
      </c>
      <c r="CE161" s="264"/>
      <c r="CG161" s="14" t="s">
        <v>1232</v>
      </c>
      <c r="CH161" s="353">
        <f t="shared" ref="CH161:CM161" si="134">+CH141-CH121</f>
        <v>0</v>
      </c>
      <c r="CI161" s="353">
        <f t="shared" si="134"/>
        <v>0</v>
      </c>
      <c r="CJ161" s="353">
        <f t="shared" si="134"/>
        <v>0</v>
      </c>
      <c r="CK161" s="353">
        <f t="shared" si="134"/>
        <v>0</v>
      </c>
      <c r="CL161" s="353">
        <f t="shared" si="134"/>
        <v>0</v>
      </c>
      <c r="CM161" s="353">
        <f t="shared" si="134"/>
        <v>0</v>
      </c>
      <c r="CN161" s="353" t="s">
        <v>1278</v>
      </c>
      <c r="DQ161" s="36"/>
      <c r="DR161" s="32"/>
      <c r="DS161" s="32"/>
      <c r="DT161" s="32"/>
      <c r="DU161" s="19"/>
      <c r="EI161" s="46"/>
      <c r="EJ161" s="32"/>
      <c r="EK161" s="34"/>
      <c r="EL161" s="32"/>
    </row>
    <row r="162" spans="74:142" x14ac:dyDescent="0.25">
      <c r="BV162" s="255" t="str">
        <f t="shared" si="122"/>
        <v>D.LL.12_20B.1200102</v>
      </c>
      <c r="BW162" s="32" t="s">
        <v>502</v>
      </c>
      <c r="BX162" s="32" t="s">
        <v>731</v>
      </c>
      <c r="BY162" s="32" t="s">
        <v>686</v>
      </c>
      <c r="BZ162" s="32">
        <v>1200102</v>
      </c>
      <c r="CA162" s="32">
        <v>2567</v>
      </c>
      <c r="CB162" s="257"/>
      <c r="CC162" s="263" t="s">
        <v>1078</v>
      </c>
      <c r="CD162" s="314">
        <v>200</v>
      </c>
      <c r="CE162" s="264"/>
      <c r="CG162" s="14"/>
      <c r="CH162" s="353">
        <f t="shared" ref="CH162:CM162" si="135">+CH142-CH122</f>
        <v>0</v>
      </c>
      <c r="CI162" s="353">
        <f t="shared" si="135"/>
        <v>0</v>
      </c>
      <c r="CJ162" s="353">
        <f t="shared" si="135"/>
        <v>0</v>
      </c>
      <c r="CK162" s="353">
        <f t="shared" si="135"/>
        <v>0</v>
      </c>
      <c r="CL162" s="353">
        <f t="shared" si="135"/>
        <v>0</v>
      </c>
      <c r="CM162" s="353">
        <f t="shared" si="135"/>
        <v>0</v>
      </c>
      <c r="CN162" s="353" t="s">
        <v>1278</v>
      </c>
      <c r="DQ162" s="36"/>
      <c r="DR162" s="32"/>
      <c r="DS162" s="32"/>
      <c r="DT162" s="32"/>
      <c r="DU162" s="19"/>
      <c r="EI162" s="46"/>
      <c r="EJ162" s="32"/>
      <c r="EK162" s="34"/>
      <c r="EL162" s="32"/>
    </row>
    <row r="163" spans="74:142" x14ac:dyDescent="0.25">
      <c r="BV163" s="255" t="str">
        <f t="shared" si="122"/>
        <v>D.LL.12_22B.1200102</v>
      </c>
      <c r="BW163" s="32" t="s">
        <v>502</v>
      </c>
      <c r="BX163" s="32" t="s">
        <v>731</v>
      </c>
      <c r="BY163" s="32" t="s">
        <v>690</v>
      </c>
      <c r="BZ163" s="32">
        <v>1200102</v>
      </c>
      <c r="CA163" s="32">
        <v>2577</v>
      </c>
      <c r="CB163" s="257"/>
      <c r="CC163" s="263" t="s">
        <v>1079</v>
      </c>
      <c r="CD163" s="314">
        <v>200</v>
      </c>
      <c r="CE163" s="264"/>
      <c r="CG163" s="14" t="s">
        <v>1273</v>
      </c>
      <c r="CH163" s="353">
        <f t="shared" ref="CH163:CM163" si="136">+CH143-CH123</f>
        <v>0</v>
      </c>
      <c r="CI163" s="353">
        <f t="shared" si="136"/>
        <v>0</v>
      </c>
      <c r="CJ163" s="353">
        <f t="shared" si="136"/>
        <v>0</v>
      </c>
      <c r="CK163" s="353">
        <f t="shared" si="136"/>
        <v>0</v>
      </c>
      <c r="CL163" s="353">
        <f t="shared" si="136"/>
        <v>0</v>
      </c>
      <c r="CM163" s="353">
        <f t="shared" si="136"/>
        <v>0</v>
      </c>
      <c r="CN163" s="353" t="s">
        <v>1278</v>
      </c>
      <c r="DQ163" s="36"/>
      <c r="DR163" s="32"/>
      <c r="DS163" s="32"/>
      <c r="DT163" s="34"/>
      <c r="DU163" s="19"/>
      <c r="EI163" s="46"/>
      <c r="EJ163" s="32"/>
      <c r="EK163" s="34"/>
      <c r="EL163" s="32"/>
    </row>
    <row r="164" spans="74:142" x14ac:dyDescent="0.25">
      <c r="BV164" s="255" t="str">
        <f t="shared" si="122"/>
        <v>D.LL.12_24B.1200102</v>
      </c>
      <c r="BW164" s="32" t="s">
        <v>502</v>
      </c>
      <c r="BX164" s="32" t="s">
        <v>731</v>
      </c>
      <c r="BY164" s="32" t="s">
        <v>695</v>
      </c>
      <c r="BZ164" s="32">
        <v>1200102</v>
      </c>
      <c r="CA164" s="32">
        <v>2719</v>
      </c>
      <c r="CB164" s="257"/>
      <c r="CC164" s="263" t="s">
        <v>1080</v>
      </c>
      <c r="CD164" s="314">
        <v>0</v>
      </c>
      <c r="CE164" s="264"/>
      <c r="CG164" s="14" t="s">
        <v>1274</v>
      </c>
      <c r="CH164" s="353">
        <f t="shared" ref="CH164:CM164" si="137">+CH144-CH124</f>
        <v>0</v>
      </c>
      <c r="CI164" s="353">
        <f t="shared" si="137"/>
        <v>0</v>
      </c>
      <c r="CJ164" s="353">
        <f t="shared" si="137"/>
        <v>0</v>
      </c>
      <c r="CK164" s="353">
        <f t="shared" si="137"/>
        <v>0</v>
      </c>
      <c r="CL164" s="353">
        <f t="shared" si="137"/>
        <v>0</v>
      </c>
      <c r="CM164" s="353">
        <f t="shared" si="137"/>
        <v>0</v>
      </c>
      <c r="CN164" s="353" t="s">
        <v>1278</v>
      </c>
      <c r="DQ164" s="33"/>
      <c r="DR164" s="32"/>
      <c r="DS164" s="32"/>
      <c r="DT164" s="32"/>
      <c r="DU164" s="19"/>
      <c r="EI164" s="46"/>
      <c r="EJ164" s="32"/>
      <c r="EK164" s="34"/>
      <c r="EL164" s="32"/>
    </row>
    <row r="165" spans="74:142" x14ac:dyDescent="0.25">
      <c r="BV165" s="255" t="str">
        <f t="shared" si="122"/>
        <v>D.LL.12_26B.1200102</v>
      </c>
      <c r="BW165" s="32" t="s">
        <v>502</v>
      </c>
      <c r="BX165" s="32" t="s">
        <v>731</v>
      </c>
      <c r="BY165" s="32" t="s">
        <v>700</v>
      </c>
      <c r="BZ165" s="32">
        <v>1200102</v>
      </c>
      <c r="CA165" s="32">
        <v>2740</v>
      </c>
      <c r="CB165" s="257"/>
      <c r="CC165" s="263" t="s">
        <v>1081</v>
      </c>
      <c r="CD165" s="314">
        <v>0</v>
      </c>
      <c r="CE165" s="264"/>
      <c r="CG165" s="14"/>
      <c r="CH165" s="353">
        <f t="shared" ref="CH165:CM165" si="138">+CH145-CH125</f>
        <v>0</v>
      </c>
      <c r="CI165" s="353">
        <f t="shared" si="138"/>
        <v>0</v>
      </c>
      <c r="CJ165" s="353">
        <f t="shared" si="138"/>
        <v>0</v>
      </c>
      <c r="CK165" s="353">
        <f t="shared" si="138"/>
        <v>0</v>
      </c>
      <c r="CL165" s="353">
        <f t="shared" si="138"/>
        <v>0</v>
      </c>
      <c r="CM165" s="353">
        <f t="shared" si="138"/>
        <v>0</v>
      </c>
      <c r="CN165" s="353" t="s">
        <v>1278</v>
      </c>
      <c r="DQ165" s="33"/>
      <c r="DR165" s="32"/>
      <c r="DS165" s="32"/>
      <c r="DT165" s="32"/>
      <c r="DU165" s="19"/>
      <c r="EI165" s="46"/>
      <c r="EJ165" s="32"/>
      <c r="EK165" s="34"/>
      <c r="EL165" s="32"/>
    </row>
    <row r="166" spans="74:142" x14ac:dyDescent="0.25">
      <c r="BV166" s="255" t="str">
        <f t="shared" si="122"/>
        <v>D.LL.14_18B.1200102</v>
      </c>
      <c r="BW166" s="32" t="s">
        <v>502</v>
      </c>
      <c r="BX166" s="32" t="s">
        <v>731</v>
      </c>
      <c r="BY166" s="32" t="s">
        <v>684</v>
      </c>
      <c r="BZ166" s="32">
        <v>1200102</v>
      </c>
      <c r="CA166" s="32">
        <v>2546</v>
      </c>
      <c r="CB166" s="257"/>
      <c r="CC166" s="266"/>
      <c r="CD166" s="257"/>
      <c r="CE166" s="265"/>
      <c r="CG166" s="14"/>
      <c r="CH166" s="353">
        <f t="shared" ref="CH166:CM166" si="139">+CH146-CH126</f>
        <v>0</v>
      </c>
      <c r="CI166" s="353">
        <f t="shared" si="139"/>
        <v>0</v>
      </c>
      <c r="CJ166" s="353">
        <f t="shared" si="139"/>
        <v>0</v>
      </c>
      <c r="CK166" s="353">
        <f t="shared" si="139"/>
        <v>0</v>
      </c>
      <c r="CL166" s="353">
        <f t="shared" si="139"/>
        <v>0</v>
      </c>
      <c r="CM166" s="353">
        <f t="shared" si="139"/>
        <v>0</v>
      </c>
      <c r="CN166" s="353" t="s">
        <v>1278</v>
      </c>
      <c r="DQ166" s="33"/>
      <c r="DR166" s="32"/>
      <c r="DS166" s="32"/>
      <c r="DT166" s="34"/>
      <c r="DU166" s="19"/>
      <c r="EI166" s="46"/>
      <c r="EJ166" s="32"/>
      <c r="EK166" s="34"/>
      <c r="EL166" s="32"/>
    </row>
    <row r="167" spans="74:142" x14ac:dyDescent="0.25">
      <c r="BV167" s="255" t="str">
        <f t="shared" si="122"/>
        <v>D.LL.14_20B.1200102</v>
      </c>
      <c r="BW167" s="32" t="s">
        <v>502</v>
      </c>
      <c r="BX167" s="32" t="s">
        <v>731</v>
      </c>
      <c r="BY167" s="32" t="s">
        <v>687</v>
      </c>
      <c r="BZ167" s="32">
        <v>1200102</v>
      </c>
      <c r="CA167" s="32">
        <v>2567</v>
      </c>
      <c r="CB167" s="265"/>
      <c r="CC167" s="266"/>
      <c r="CD167" s="257"/>
      <c r="CE167" s="265"/>
      <c r="CH167" s="353">
        <f t="shared" ref="CH167:CM167" si="140">+CH147-CH127</f>
        <v>0</v>
      </c>
      <c r="CI167" s="353">
        <f t="shared" si="140"/>
        <v>0</v>
      </c>
      <c r="CJ167" s="353">
        <f t="shared" si="140"/>
        <v>0</v>
      </c>
      <c r="CK167" s="353">
        <f t="shared" si="140"/>
        <v>0</v>
      </c>
      <c r="CL167" s="353">
        <f t="shared" si="140"/>
        <v>0</v>
      </c>
      <c r="CM167" s="353">
        <f t="shared" si="140"/>
        <v>0</v>
      </c>
      <c r="CN167" s="353" t="s">
        <v>1278</v>
      </c>
      <c r="DQ167" s="33"/>
      <c r="DR167" s="32"/>
      <c r="DS167" s="32"/>
      <c r="DT167" s="34"/>
      <c r="DU167" s="19"/>
      <c r="EI167" s="46"/>
      <c r="EJ167" s="32"/>
      <c r="EK167" s="34"/>
      <c r="EL167" s="32"/>
    </row>
    <row r="168" spans="74:142" x14ac:dyDescent="0.25">
      <c r="BV168" s="255" t="str">
        <f t="shared" si="122"/>
        <v>D.LL.14_22B.1200102</v>
      </c>
      <c r="BW168" s="32" t="s">
        <v>502</v>
      </c>
      <c r="BX168" s="32" t="s">
        <v>731</v>
      </c>
      <c r="BY168" s="32" t="s">
        <v>691</v>
      </c>
      <c r="BZ168" s="32">
        <v>1200102</v>
      </c>
      <c r="CA168" s="32">
        <v>2577</v>
      </c>
      <c r="CB168" s="265"/>
      <c r="CC168" s="266"/>
      <c r="CD168" s="257"/>
      <c r="CE168" s="265"/>
      <c r="CH168" s="353"/>
      <c r="DQ168" s="36"/>
      <c r="DR168" s="32"/>
      <c r="DS168" s="32"/>
      <c r="DT168" s="32"/>
      <c r="DU168" s="19"/>
      <c r="EI168" s="46"/>
      <c r="EJ168" s="32"/>
      <c r="EK168" s="34"/>
      <c r="EL168" s="32"/>
    </row>
    <row r="169" spans="74:142" x14ac:dyDescent="0.25">
      <c r="BV169" s="255" t="str">
        <f t="shared" si="122"/>
        <v>D.LL.14_24B.1200102</v>
      </c>
      <c r="BW169" s="32" t="s">
        <v>502</v>
      </c>
      <c r="BX169" s="32" t="s">
        <v>731</v>
      </c>
      <c r="BY169" s="32" t="s">
        <v>696</v>
      </c>
      <c r="BZ169" s="32">
        <v>1200102</v>
      </c>
      <c r="CA169" s="32">
        <v>2719</v>
      </c>
      <c r="CB169" s="265"/>
      <c r="CC169" s="267" t="s">
        <v>408</v>
      </c>
      <c r="CD169" s="250"/>
      <c r="CE169" s="265"/>
      <c r="DQ169" s="33"/>
      <c r="DR169" s="32"/>
      <c r="DS169" s="32"/>
      <c r="DT169" s="32"/>
      <c r="DU169" s="19"/>
      <c r="EI169" s="46"/>
      <c r="EJ169" s="32"/>
      <c r="EK169" s="34"/>
      <c r="EL169" s="32"/>
    </row>
    <row r="170" spans="74:142" x14ac:dyDescent="0.25">
      <c r="BV170" s="255" t="str">
        <f t="shared" si="122"/>
        <v>D.LL.14_26B.1200102</v>
      </c>
      <c r="BW170" s="32" t="s">
        <v>502</v>
      </c>
      <c r="BX170" s="32" t="s">
        <v>731</v>
      </c>
      <c r="BY170" s="32" t="s">
        <v>701</v>
      </c>
      <c r="BZ170" s="32">
        <v>1200102</v>
      </c>
      <c r="CA170" s="32">
        <v>2740</v>
      </c>
      <c r="CB170" s="265"/>
      <c r="CC170" s="263" t="s">
        <v>488</v>
      </c>
      <c r="CD170" s="314">
        <v>0</v>
      </c>
      <c r="CE170" s="265"/>
      <c r="DQ170" s="33"/>
      <c r="DR170" s="32"/>
      <c r="DS170" s="32"/>
      <c r="DT170" s="32"/>
      <c r="DU170" s="19"/>
      <c r="EI170" s="46"/>
      <c r="EJ170" s="32"/>
      <c r="EK170" s="34"/>
      <c r="EL170" s="32"/>
    </row>
    <row r="171" spans="74:142" x14ac:dyDescent="0.25">
      <c r="BV171" s="255" t="str">
        <f t="shared" si="122"/>
        <v>D.LL.16_18B.1200102</v>
      </c>
      <c r="BW171" s="32" t="s">
        <v>502</v>
      </c>
      <c r="BX171" s="32" t="s">
        <v>731</v>
      </c>
      <c r="BY171" s="32" t="s">
        <v>685</v>
      </c>
      <c r="BZ171" s="32">
        <v>1200102</v>
      </c>
      <c r="CA171" s="32">
        <v>2546</v>
      </c>
      <c r="CB171" s="265"/>
      <c r="CC171" s="268" t="s">
        <v>489</v>
      </c>
      <c r="CD171" s="314">
        <v>0</v>
      </c>
      <c r="CE171" s="265"/>
      <c r="DQ171" s="36"/>
      <c r="DR171" s="32"/>
      <c r="DS171" s="32"/>
      <c r="DT171" s="32"/>
      <c r="DU171" s="19"/>
      <c r="EI171" s="46"/>
      <c r="EJ171" s="32"/>
      <c r="EK171" s="34"/>
      <c r="EL171" s="32"/>
    </row>
    <row r="172" spans="74:142" x14ac:dyDescent="0.25">
      <c r="BV172" s="255" t="str">
        <f t="shared" si="122"/>
        <v>D.LL.16_20B.1200102</v>
      </c>
      <c r="BW172" s="32" t="s">
        <v>502</v>
      </c>
      <c r="BX172" s="32" t="s">
        <v>731</v>
      </c>
      <c r="BY172" s="32" t="s">
        <v>688</v>
      </c>
      <c r="BZ172" s="32">
        <v>1200102</v>
      </c>
      <c r="CA172" s="32">
        <v>2567</v>
      </c>
      <c r="CB172" s="265"/>
      <c r="CC172" s="268" t="s">
        <v>1255</v>
      </c>
      <c r="CD172" s="314">
        <v>30</v>
      </c>
      <c r="CE172" s="265"/>
      <c r="DQ172" s="36"/>
      <c r="DR172" s="32"/>
      <c r="DS172" s="32"/>
      <c r="DT172" s="32"/>
      <c r="DU172" s="19"/>
      <c r="EI172" s="46"/>
      <c r="EJ172" s="32"/>
      <c r="EK172" s="34"/>
      <c r="EL172" s="32"/>
    </row>
    <row r="173" spans="74:142" x14ac:dyDescent="0.25">
      <c r="BV173" s="255" t="str">
        <f t="shared" si="122"/>
        <v>D.LL.16_22B.1200102</v>
      </c>
      <c r="BW173" s="32" t="s">
        <v>502</v>
      </c>
      <c r="BX173" s="32" t="s">
        <v>731</v>
      </c>
      <c r="BY173" s="32" t="s">
        <v>692</v>
      </c>
      <c r="BZ173" s="32">
        <v>1200102</v>
      </c>
      <c r="CA173" s="32">
        <v>2577</v>
      </c>
      <c r="CB173" s="265"/>
      <c r="CC173" s="268" t="s">
        <v>490</v>
      </c>
      <c r="CD173" s="314">
        <v>60</v>
      </c>
      <c r="CE173" s="265"/>
      <c r="DQ173" s="33"/>
      <c r="DR173" s="32"/>
      <c r="DS173" s="32"/>
      <c r="DT173" s="32"/>
      <c r="DU173" s="19"/>
      <c r="EI173" s="46"/>
      <c r="EJ173" s="32"/>
      <c r="EK173" s="34"/>
      <c r="EL173" s="32"/>
    </row>
    <row r="174" spans="74:142" x14ac:dyDescent="0.25">
      <c r="BV174" s="255" t="str">
        <f t="shared" si="122"/>
        <v>D.LL.16_24B.1200102</v>
      </c>
      <c r="BW174" s="32" t="s">
        <v>502</v>
      </c>
      <c r="BX174" s="32" t="s">
        <v>731</v>
      </c>
      <c r="BY174" s="32" t="s">
        <v>697</v>
      </c>
      <c r="BZ174" s="32">
        <v>1200102</v>
      </c>
      <c r="CA174" s="32">
        <v>2719</v>
      </c>
      <c r="CB174" s="265"/>
      <c r="CC174" s="269" t="s">
        <v>491</v>
      </c>
      <c r="CD174" s="314">
        <v>0</v>
      </c>
      <c r="CE174" s="265"/>
      <c r="DQ174" s="33"/>
      <c r="DR174" s="32"/>
      <c r="DS174" s="32"/>
      <c r="DT174" s="32"/>
      <c r="DU174" s="19"/>
      <c r="EI174" s="46"/>
      <c r="EJ174" s="32"/>
      <c r="EK174" s="34"/>
      <c r="EL174" s="32"/>
    </row>
    <row r="175" spans="74:142" x14ac:dyDescent="0.25">
      <c r="BV175" s="255" t="str">
        <f t="shared" si="122"/>
        <v>D.LL.16_26B.1200102</v>
      </c>
      <c r="BW175" s="32" t="s">
        <v>502</v>
      </c>
      <c r="BX175" s="32" t="s">
        <v>731</v>
      </c>
      <c r="BY175" s="32" t="s">
        <v>702</v>
      </c>
      <c r="BZ175" s="32">
        <v>1200102</v>
      </c>
      <c r="CA175" s="32">
        <v>2740</v>
      </c>
      <c r="CB175" s="265"/>
      <c r="CC175" s="269" t="s">
        <v>492</v>
      </c>
      <c r="CD175" s="314">
        <v>70</v>
      </c>
      <c r="CE175" s="265"/>
      <c r="DQ175" s="33"/>
      <c r="DR175" s="32"/>
      <c r="DS175" s="32"/>
      <c r="DT175" s="32"/>
      <c r="DU175" s="19"/>
      <c r="EI175" s="46"/>
      <c r="EJ175" s="32"/>
      <c r="EK175" s="34"/>
      <c r="EL175" s="32"/>
    </row>
    <row r="176" spans="74:142" x14ac:dyDescent="0.25">
      <c r="BV176" s="255" t="str">
        <f t="shared" si="122"/>
        <v>D.LL.18_20B.1200102</v>
      </c>
      <c r="BW176" s="32" t="s">
        <v>502</v>
      </c>
      <c r="BX176" s="32" t="s">
        <v>731</v>
      </c>
      <c r="BY176" s="32" t="s">
        <v>689</v>
      </c>
      <c r="BZ176" s="32">
        <v>1200102</v>
      </c>
      <c r="CA176" s="32">
        <v>2567</v>
      </c>
      <c r="CB176" s="265"/>
      <c r="CC176" s="269" t="s">
        <v>493</v>
      </c>
      <c r="CD176" s="314">
        <v>30</v>
      </c>
      <c r="CE176" s="265"/>
      <c r="DQ176" s="33"/>
      <c r="DR176" s="32"/>
      <c r="DS176" s="32"/>
      <c r="DT176" s="32"/>
      <c r="DU176" s="19"/>
      <c r="EI176" s="46"/>
      <c r="EJ176" s="32"/>
      <c r="EK176" s="34"/>
      <c r="EL176" s="32"/>
    </row>
    <row r="177" spans="74:142" x14ac:dyDescent="0.25">
      <c r="BV177" s="255" t="str">
        <f t="shared" si="122"/>
        <v>D.LL.18_22B.1200102</v>
      </c>
      <c r="BW177" s="32" t="s">
        <v>502</v>
      </c>
      <c r="BX177" s="32" t="s">
        <v>731</v>
      </c>
      <c r="BY177" s="32" t="s">
        <v>693</v>
      </c>
      <c r="BZ177" s="32">
        <v>1200102</v>
      </c>
      <c r="CA177" s="32">
        <v>2577</v>
      </c>
      <c r="CB177" s="265"/>
      <c r="CC177" s="266"/>
      <c r="CD177" s="257"/>
      <c r="CE177" s="265"/>
      <c r="DQ177" s="33"/>
      <c r="DR177" s="32"/>
      <c r="DS177" s="32"/>
      <c r="DT177" s="32"/>
      <c r="DU177" s="19"/>
      <c r="EI177" s="46"/>
      <c r="EJ177" s="32"/>
      <c r="EK177" s="34"/>
      <c r="EL177" s="32"/>
    </row>
    <row r="178" spans="74:142" x14ac:dyDescent="0.25">
      <c r="BV178" s="255" t="str">
        <f t="shared" si="122"/>
        <v>D.LL.18_24B.1200102</v>
      </c>
      <c r="BW178" s="32" t="s">
        <v>502</v>
      </c>
      <c r="BX178" s="32" t="s">
        <v>731</v>
      </c>
      <c r="BY178" s="32" t="s">
        <v>698</v>
      </c>
      <c r="BZ178" s="32">
        <v>1200102</v>
      </c>
      <c r="CA178" s="32">
        <v>2719</v>
      </c>
      <c r="CB178" s="265"/>
      <c r="CC178" s="266"/>
      <c r="CD178" s="257"/>
      <c r="CE178" s="265"/>
      <c r="DQ178" s="33"/>
      <c r="DR178" s="32"/>
      <c r="DS178" s="32"/>
      <c r="DT178" s="32"/>
      <c r="DU178" s="19"/>
      <c r="EI178" s="46"/>
      <c r="EJ178" s="32"/>
      <c r="EK178" s="34"/>
      <c r="EL178" s="32"/>
    </row>
    <row r="179" spans="74:142" x14ac:dyDescent="0.25">
      <c r="BV179" s="255" t="str">
        <f t="shared" si="122"/>
        <v>D.LL.20_20B.1200102</v>
      </c>
      <c r="BW179" s="32" t="s">
        <v>502</v>
      </c>
      <c r="BX179" s="32" t="s">
        <v>731</v>
      </c>
      <c r="BY179" s="32" t="s">
        <v>738</v>
      </c>
      <c r="BZ179" s="32">
        <v>1200102</v>
      </c>
      <c r="CA179" s="32">
        <v>2567</v>
      </c>
      <c r="CB179" s="265"/>
      <c r="CC179" s="261" t="s">
        <v>1083</v>
      </c>
      <c r="CD179" s="257"/>
      <c r="CE179" s="265"/>
      <c r="DQ179" s="33"/>
      <c r="DR179" s="32"/>
      <c r="DS179" s="32"/>
      <c r="DT179" s="32"/>
      <c r="DU179" s="19"/>
      <c r="EI179" s="46"/>
      <c r="EJ179" s="32"/>
      <c r="EK179" s="34"/>
      <c r="EL179" s="32"/>
    </row>
    <row r="180" spans="74:142" x14ac:dyDescent="0.25">
      <c r="BV180" s="255" t="str">
        <f t="shared" si="122"/>
        <v>D.LL.20_22B.1200102</v>
      </c>
      <c r="BW180" s="32" t="s">
        <v>502</v>
      </c>
      <c r="BX180" s="32" t="s">
        <v>731</v>
      </c>
      <c r="BY180" s="32" t="s">
        <v>694</v>
      </c>
      <c r="BZ180" s="32">
        <v>1200102</v>
      </c>
      <c r="CA180" s="32">
        <v>2577</v>
      </c>
      <c r="CB180" s="265"/>
      <c r="CC180" s="266"/>
      <c r="CD180" s="257"/>
      <c r="CE180" s="265"/>
      <c r="DQ180" s="33"/>
      <c r="DR180" s="32"/>
      <c r="DS180" s="32"/>
      <c r="DT180" s="32"/>
      <c r="DU180" s="19"/>
      <c r="EI180" s="46"/>
      <c r="EJ180" s="32"/>
      <c r="EK180" s="34"/>
      <c r="EL180" s="32"/>
    </row>
    <row r="181" spans="74:142" x14ac:dyDescent="0.25">
      <c r="BV181" s="255" t="str">
        <f t="shared" si="122"/>
        <v>D.LL.20_24B.1200102</v>
      </c>
      <c r="BW181" s="32" t="s">
        <v>502</v>
      </c>
      <c r="BX181" s="32" t="s">
        <v>731</v>
      </c>
      <c r="BY181" s="32" t="s">
        <v>699</v>
      </c>
      <c r="BZ181" s="32">
        <v>1200102</v>
      </c>
      <c r="CA181" s="32">
        <v>2719</v>
      </c>
      <c r="CB181" s="265"/>
      <c r="CC181" s="263" t="s">
        <v>1084</v>
      </c>
      <c r="CD181" s="279">
        <v>50</v>
      </c>
      <c r="CE181" s="265"/>
      <c r="DQ181" s="33"/>
      <c r="DR181" s="32"/>
      <c r="DS181" s="32"/>
      <c r="DT181" s="32"/>
      <c r="DU181" s="19"/>
      <c r="EI181" s="46"/>
      <c r="EJ181" s="32"/>
      <c r="EK181" s="34"/>
      <c r="EL181" s="32"/>
    </row>
    <row r="182" spans="74:142" x14ac:dyDescent="0.25">
      <c r="BV182" s="255" t="str">
        <f t="shared" si="122"/>
        <v>D.LL.12_14F.1200102</v>
      </c>
      <c r="BW182" s="32" t="s">
        <v>502</v>
      </c>
      <c r="BX182" s="32" t="s">
        <v>731</v>
      </c>
      <c r="BY182" s="32" t="s">
        <v>703</v>
      </c>
      <c r="BZ182" s="32">
        <v>1200102</v>
      </c>
      <c r="CA182" s="32">
        <v>1590</v>
      </c>
      <c r="CB182" s="265"/>
      <c r="CC182" s="266"/>
      <c r="CD182" s="257"/>
      <c r="CE182" s="265"/>
      <c r="DQ182" s="33"/>
      <c r="DR182" s="32"/>
      <c r="DS182" s="32"/>
      <c r="DT182" s="32"/>
      <c r="DU182" s="19"/>
      <c r="EI182" s="46"/>
      <c r="EJ182" s="32"/>
      <c r="EK182" s="34"/>
      <c r="EL182" s="32"/>
    </row>
    <row r="183" spans="74:142" x14ac:dyDescent="0.25">
      <c r="BV183" s="255" t="str">
        <f t="shared" si="122"/>
        <v>D.LL.13_14F.1200102</v>
      </c>
      <c r="BW183" s="32" t="s">
        <v>502</v>
      </c>
      <c r="BX183" s="32" t="s">
        <v>731</v>
      </c>
      <c r="BY183" s="32" t="s">
        <v>704</v>
      </c>
      <c r="BZ183" s="32">
        <v>1200102</v>
      </c>
      <c r="CA183" s="32">
        <v>1590</v>
      </c>
      <c r="CB183" s="265"/>
      <c r="CC183" s="266"/>
      <c r="CD183" s="257"/>
      <c r="CE183" s="265"/>
      <c r="DQ183" s="33"/>
      <c r="DR183" s="32"/>
      <c r="DS183" s="32"/>
      <c r="DT183" s="32"/>
      <c r="DU183" s="19"/>
      <c r="EI183" s="46"/>
      <c r="EJ183" s="32"/>
      <c r="EK183" s="34"/>
      <c r="EL183" s="32"/>
    </row>
    <row r="184" spans="74:142" x14ac:dyDescent="0.25">
      <c r="BV184" s="255" t="str">
        <f t="shared" si="122"/>
        <v>D.LL.13_15F.1200102</v>
      </c>
      <c r="BW184" s="32" t="s">
        <v>502</v>
      </c>
      <c r="BX184" s="32" t="s">
        <v>731</v>
      </c>
      <c r="BY184" s="32" t="s">
        <v>706</v>
      </c>
      <c r="BZ184" s="32">
        <v>1200102</v>
      </c>
      <c r="CA184" s="32">
        <v>1652</v>
      </c>
      <c r="CB184" s="265"/>
      <c r="CC184" s="249" t="s">
        <v>550</v>
      </c>
      <c r="CD184" s="270"/>
      <c r="CE184" s="265"/>
      <c r="DQ184" s="33"/>
      <c r="DR184" s="32"/>
      <c r="DS184" s="32"/>
      <c r="DT184" s="32"/>
      <c r="DU184" s="19"/>
      <c r="EI184" s="46"/>
      <c r="EJ184" s="32"/>
      <c r="EK184" s="34"/>
      <c r="EL184" s="32"/>
    </row>
    <row r="185" spans="74:142" x14ac:dyDescent="0.25">
      <c r="BV185" s="255" t="str">
        <f t="shared" si="122"/>
        <v>D.LL.13_16F.1200102</v>
      </c>
      <c r="BW185" s="32" t="s">
        <v>502</v>
      </c>
      <c r="BX185" s="32" t="s">
        <v>731</v>
      </c>
      <c r="BY185" s="32" t="s">
        <v>708</v>
      </c>
      <c r="BZ185" s="32">
        <v>1200102</v>
      </c>
      <c r="CA185" s="32">
        <v>1681</v>
      </c>
      <c r="CB185" s="265"/>
      <c r="CC185" s="271" t="s">
        <v>886</v>
      </c>
      <c r="CD185" s="279">
        <v>140</v>
      </c>
      <c r="CE185" s="265"/>
      <c r="DQ185" s="33"/>
      <c r="DR185" s="32"/>
      <c r="DS185" s="32"/>
      <c r="DT185" s="32"/>
      <c r="DU185" s="19"/>
      <c r="EI185" s="46"/>
      <c r="EJ185" s="32"/>
      <c r="EK185" s="34"/>
      <c r="EL185" s="32"/>
    </row>
    <row r="186" spans="74:142" x14ac:dyDescent="0.25">
      <c r="BV186" s="255" t="str">
        <f t="shared" si="122"/>
        <v>D.LL.14_14F.1200102</v>
      </c>
      <c r="BW186" s="32" t="s">
        <v>502</v>
      </c>
      <c r="BX186" s="32" t="s">
        <v>731</v>
      </c>
      <c r="BY186" s="32" t="s">
        <v>705</v>
      </c>
      <c r="BZ186" s="32">
        <v>1200102</v>
      </c>
      <c r="CA186" s="32">
        <v>1590</v>
      </c>
      <c r="CB186" s="265"/>
      <c r="CC186" s="271" t="s">
        <v>887</v>
      </c>
      <c r="CD186" s="279">
        <v>140</v>
      </c>
      <c r="CE186" s="265"/>
      <c r="DQ186" s="33"/>
      <c r="DR186" s="32"/>
      <c r="DS186" s="32"/>
      <c r="DT186" s="33"/>
      <c r="DU186" s="19"/>
      <c r="EI186" s="46"/>
      <c r="EJ186" s="32"/>
      <c r="EK186" s="34"/>
      <c r="EL186" s="32"/>
    </row>
    <row r="187" spans="74:142" x14ac:dyDescent="0.25">
      <c r="BV187" s="255" t="str">
        <f t="shared" si="122"/>
        <v>D.LL.14_15F.1200102</v>
      </c>
      <c r="BW187" s="32" t="s">
        <v>502</v>
      </c>
      <c r="BX187" s="32" t="s">
        <v>731</v>
      </c>
      <c r="BY187" s="32" t="s">
        <v>707</v>
      </c>
      <c r="BZ187" s="32">
        <v>1200102</v>
      </c>
      <c r="CA187" s="32">
        <v>1652</v>
      </c>
      <c r="CB187" s="265"/>
      <c r="CC187" s="271" t="s">
        <v>888</v>
      </c>
      <c r="CD187" s="279">
        <v>280</v>
      </c>
      <c r="CE187" s="265"/>
      <c r="DQ187" s="33"/>
      <c r="DR187" s="32"/>
      <c r="DS187" s="32"/>
      <c r="DT187" s="32"/>
      <c r="DU187" s="19"/>
      <c r="EI187" s="46"/>
      <c r="EJ187" s="32"/>
      <c r="EK187" s="34"/>
      <c r="EL187" s="32"/>
    </row>
    <row r="188" spans="74:142" x14ac:dyDescent="0.25">
      <c r="BV188" s="255" t="str">
        <f t="shared" si="122"/>
        <v>D.LL.14_16F.1200102</v>
      </c>
      <c r="BW188" s="32" t="s">
        <v>502</v>
      </c>
      <c r="BX188" s="32" t="s">
        <v>731</v>
      </c>
      <c r="BY188" s="32" t="s">
        <v>709</v>
      </c>
      <c r="BZ188" s="32">
        <v>1200102</v>
      </c>
      <c r="CA188" s="32">
        <v>1681</v>
      </c>
      <c r="CB188" s="265"/>
      <c r="CC188" s="263"/>
      <c r="CD188" s="257"/>
      <c r="CE188" s="265"/>
      <c r="DQ188" s="33"/>
      <c r="DR188" s="32"/>
      <c r="DS188" s="32"/>
      <c r="DT188" s="32"/>
      <c r="DU188" s="19"/>
      <c r="EI188" s="46"/>
      <c r="EJ188" s="32"/>
      <c r="EK188" s="34"/>
      <c r="EL188" s="32"/>
    </row>
    <row r="189" spans="74:142" x14ac:dyDescent="0.25">
      <c r="BV189" s="255" t="str">
        <f t="shared" si="122"/>
        <v>D.LL.15_16F.1200102</v>
      </c>
      <c r="BW189" s="32" t="s">
        <v>502</v>
      </c>
      <c r="BX189" s="32" t="s">
        <v>731</v>
      </c>
      <c r="BY189" s="32" t="s">
        <v>710</v>
      </c>
      <c r="BZ189" s="32">
        <v>1200102</v>
      </c>
      <c r="CA189" s="32">
        <v>1681</v>
      </c>
      <c r="CB189" s="265"/>
      <c r="CC189" s="263"/>
      <c r="CD189" s="257"/>
      <c r="CE189" s="265"/>
      <c r="DQ189" s="33"/>
      <c r="DR189" s="32"/>
      <c r="DS189" s="32"/>
      <c r="DT189" s="32"/>
      <c r="DU189" s="19"/>
      <c r="EI189" s="46"/>
      <c r="EJ189" s="32"/>
      <c r="EK189" s="34"/>
      <c r="EL189" s="32"/>
    </row>
    <row r="190" spans="74:142" x14ac:dyDescent="0.25">
      <c r="BV190" s="255" t="str">
        <f t="shared" si="122"/>
        <v>D.LL.16_16F.1200102</v>
      </c>
      <c r="BW190" s="32" t="s">
        <v>502</v>
      </c>
      <c r="BX190" s="32" t="s">
        <v>731</v>
      </c>
      <c r="BY190" s="32" t="s">
        <v>711</v>
      </c>
      <c r="BZ190" s="32">
        <v>1200102</v>
      </c>
      <c r="CA190" s="32">
        <v>1681</v>
      </c>
      <c r="CB190" s="265"/>
      <c r="CC190" s="237" t="s">
        <v>1087</v>
      </c>
      <c r="CE190" s="265"/>
      <c r="DQ190" s="33"/>
      <c r="DR190" s="32"/>
      <c r="DS190" s="32"/>
      <c r="DT190" s="32"/>
      <c r="DU190" s="19"/>
      <c r="EI190" s="46"/>
      <c r="EJ190" s="32"/>
      <c r="EK190" s="34"/>
      <c r="EL190" s="32"/>
    </row>
    <row r="191" spans="74:142" x14ac:dyDescent="0.25">
      <c r="BV191" s="255" t="str">
        <f t="shared" si="122"/>
        <v>D.LL.16_18F.1200102</v>
      </c>
      <c r="BW191" s="32" t="s">
        <v>502</v>
      </c>
      <c r="BX191" s="32" t="s">
        <v>731</v>
      </c>
      <c r="BY191" s="32" t="s">
        <v>712</v>
      </c>
      <c r="BZ191" s="32">
        <v>1200102</v>
      </c>
      <c r="CA191" s="32">
        <v>1817</v>
      </c>
      <c r="CB191" s="265"/>
      <c r="CE191" s="265"/>
      <c r="DQ191" s="33"/>
      <c r="DR191" s="32"/>
      <c r="DS191" s="32"/>
      <c r="DT191" s="33"/>
      <c r="DU191" s="19"/>
      <c r="EI191" s="46"/>
      <c r="EJ191" s="32"/>
      <c r="EK191" s="34"/>
      <c r="EL191" s="32"/>
    </row>
    <row r="192" spans="74:142" x14ac:dyDescent="0.25">
      <c r="BV192" s="255" t="str">
        <f t="shared" si="122"/>
        <v>D.LL.10_14S.1200102</v>
      </c>
      <c r="BW192" s="32" t="s">
        <v>502</v>
      </c>
      <c r="BX192" s="32" t="s">
        <v>731</v>
      </c>
      <c r="BY192" s="32" t="s">
        <v>733</v>
      </c>
      <c r="BZ192" s="32">
        <v>1200102</v>
      </c>
      <c r="CA192" s="32">
        <v>1180</v>
      </c>
      <c r="CB192" s="265"/>
      <c r="CC192" s="243" t="s">
        <v>889</v>
      </c>
      <c r="CD192" s="257">
        <v>0</v>
      </c>
      <c r="CE192" s="265"/>
      <c r="DQ192" s="33"/>
      <c r="DR192" s="32"/>
      <c r="DS192" s="32"/>
      <c r="DT192" s="32"/>
      <c r="DU192" s="19"/>
      <c r="EI192" s="46"/>
      <c r="EJ192" s="32"/>
      <c r="EK192" s="34"/>
      <c r="EL192" s="32"/>
    </row>
    <row r="193" spans="74:142" x14ac:dyDescent="0.25">
      <c r="BV193" s="255" t="str">
        <f t="shared" si="122"/>
        <v>D.LL.4_14S.1200102</v>
      </c>
      <c r="BW193" s="32" t="s">
        <v>502</v>
      </c>
      <c r="BX193" s="32" t="s">
        <v>731</v>
      </c>
      <c r="BY193" s="32" t="s">
        <v>739</v>
      </c>
      <c r="BZ193" s="32">
        <v>1200102</v>
      </c>
      <c r="CA193" s="32">
        <v>1022</v>
      </c>
      <c r="CB193" s="265"/>
      <c r="CC193" s="243" t="s">
        <v>890</v>
      </c>
      <c r="CD193" s="257">
        <v>0</v>
      </c>
      <c r="CE193" s="265"/>
      <c r="DQ193" s="33"/>
      <c r="DR193" s="32"/>
      <c r="DS193" s="32"/>
      <c r="DT193" s="32"/>
      <c r="DU193" s="19"/>
      <c r="EI193" s="46"/>
      <c r="EJ193" s="32"/>
      <c r="EK193" s="34"/>
      <c r="EL193" s="32"/>
    </row>
    <row r="194" spans="74:142" x14ac:dyDescent="0.25">
      <c r="BV194" s="255" t="str">
        <f t="shared" si="122"/>
        <v>D.LL.4_14x8S.1200102</v>
      </c>
      <c r="BW194" s="32" t="s">
        <v>502</v>
      </c>
      <c r="BX194" s="32" t="s">
        <v>731</v>
      </c>
      <c r="BY194" s="32" t="s">
        <v>740</v>
      </c>
      <c r="BZ194" s="32">
        <v>1200102</v>
      </c>
      <c r="CA194" s="32">
        <v>1022</v>
      </c>
      <c r="CB194" s="265"/>
      <c r="CC194" s="243" t="s">
        <v>891</v>
      </c>
      <c r="CD194" s="257">
        <v>0</v>
      </c>
      <c r="CE194" s="265"/>
      <c r="DQ194" s="33"/>
      <c r="DR194" s="32"/>
      <c r="DS194" s="32"/>
      <c r="DT194" s="32"/>
      <c r="DU194" s="19"/>
      <c r="EI194" s="46"/>
      <c r="EJ194" s="32"/>
      <c r="EK194" s="34"/>
      <c r="EL194" s="32"/>
    </row>
    <row r="195" spans="74:142" x14ac:dyDescent="0.25">
      <c r="BV195" s="255" t="str">
        <f t="shared" si="122"/>
        <v>D.LL.5_14S.1200102</v>
      </c>
      <c r="BW195" s="32" t="s">
        <v>502</v>
      </c>
      <c r="BX195" s="32" t="s">
        <v>731</v>
      </c>
      <c r="BY195" s="32" t="s">
        <v>677</v>
      </c>
      <c r="BZ195" s="32">
        <v>1200102</v>
      </c>
      <c r="CA195" s="32">
        <v>1022</v>
      </c>
      <c r="CB195" s="265"/>
      <c r="CC195" s="272" t="s">
        <v>892</v>
      </c>
      <c r="CD195" s="257">
        <v>0</v>
      </c>
      <c r="CE195" s="265"/>
      <c r="DQ195" s="33"/>
      <c r="DR195" s="32"/>
      <c r="DS195" s="32"/>
      <c r="DT195" s="32"/>
      <c r="DU195" s="19"/>
      <c r="EI195" s="46"/>
      <c r="EJ195" s="32"/>
      <c r="EK195" s="34"/>
      <c r="EL195" s="32"/>
    </row>
    <row r="196" spans="74:142" x14ac:dyDescent="0.25">
      <c r="BV196" s="255" t="str">
        <f t="shared" si="122"/>
        <v>D.LL.5_14x8S.1200102</v>
      </c>
      <c r="BW196" s="32" t="s">
        <v>502</v>
      </c>
      <c r="BX196" s="32" t="s">
        <v>731</v>
      </c>
      <c r="BY196" s="32" t="s">
        <v>681</v>
      </c>
      <c r="BZ196" s="32">
        <v>1200102</v>
      </c>
      <c r="CA196" s="32">
        <v>1022</v>
      </c>
      <c r="CB196" s="265"/>
      <c r="CC196" s="243" t="s">
        <v>893</v>
      </c>
      <c r="CD196" s="257">
        <v>0</v>
      </c>
      <c r="CE196" s="265"/>
      <c r="DQ196" s="33"/>
      <c r="DR196" s="32"/>
      <c r="DS196" s="32"/>
      <c r="DT196" s="32"/>
      <c r="DU196" s="19"/>
      <c r="EI196" s="46"/>
      <c r="EJ196" s="32"/>
      <c r="EK196" s="34"/>
      <c r="EL196" s="32"/>
    </row>
    <row r="197" spans="74:142" x14ac:dyDescent="0.25">
      <c r="BV197" s="255" t="str">
        <f t="shared" si="122"/>
        <v>D.LL.5H_14S.1200102</v>
      </c>
      <c r="BW197" s="32" t="s">
        <v>502</v>
      </c>
      <c r="BX197" s="32" t="s">
        <v>731</v>
      </c>
      <c r="BY197" s="32" t="s">
        <v>1208</v>
      </c>
      <c r="BZ197" s="32">
        <v>1200102</v>
      </c>
      <c r="CA197" s="32">
        <v>1048</v>
      </c>
      <c r="CB197" s="265"/>
      <c r="CC197" s="243" t="s">
        <v>894</v>
      </c>
      <c r="CD197" s="279">
        <v>50</v>
      </c>
      <c r="CE197" s="265"/>
      <c r="DQ197" s="33"/>
      <c r="DR197" s="32"/>
      <c r="DS197" s="32"/>
      <c r="DT197" s="32"/>
      <c r="DU197" s="19"/>
      <c r="EI197" s="46"/>
      <c r="EJ197" s="32"/>
      <c r="EK197" s="34"/>
      <c r="EL197" s="32"/>
    </row>
    <row r="198" spans="74:142" x14ac:dyDescent="0.25">
      <c r="BV198" s="255" t="str">
        <f t="shared" si="122"/>
        <v>D.LL.5H_14x8S.1200102</v>
      </c>
      <c r="BW198" s="32" t="s">
        <v>502</v>
      </c>
      <c r="BX198" s="32" t="s">
        <v>731</v>
      </c>
      <c r="BY198" s="32" t="s">
        <v>1209</v>
      </c>
      <c r="BZ198" s="32">
        <v>1200102</v>
      </c>
      <c r="CA198" s="32">
        <v>1048</v>
      </c>
      <c r="CB198" s="265"/>
      <c r="CC198" s="243" t="s">
        <v>895</v>
      </c>
      <c r="CD198" s="279">
        <v>50</v>
      </c>
      <c r="CE198" s="265"/>
      <c r="DQ198" s="33"/>
      <c r="DR198" s="32"/>
      <c r="DS198" s="32"/>
      <c r="DT198" s="32"/>
      <c r="DU198" s="19"/>
      <c r="EI198" s="46"/>
      <c r="EJ198" s="32"/>
      <c r="EK198" s="34"/>
      <c r="EL198" s="32"/>
    </row>
    <row r="199" spans="74:142" x14ac:dyDescent="0.25">
      <c r="BV199" s="255" t="str">
        <f t="shared" si="122"/>
        <v>D.LL.6_12S.1200102</v>
      </c>
      <c r="BW199" s="32" t="s">
        <v>502</v>
      </c>
      <c r="BX199" s="32" t="s">
        <v>731</v>
      </c>
      <c r="BY199" s="32" t="s">
        <v>675</v>
      </c>
      <c r="BZ199" s="32">
        <v>1200102</v>
      </c>
      <c r="CA199" s="32">
        <v>1033</v>
      </c>
      <c r="CB199" s="265"/>
      <c r="CC199" s="266"/>
      <c r="CD199" s="257"/>
      <c r="CE199" s="265"/>
      <c r="DQ199" s="33"/>
      <c r="DR199" s="32"/>
      <c r="DS199" s="32"/>
      <c r="DT199" s="34"/>
      <c r="DU199" s="19"/>
      <c r="EI199" s="46"/>
      <c r="EJ199" s="32"/>
      <c r="EK199" s="34"/>
      <c r="EL199" s="32"/>
    </row>
    <row r="200" spans="74:142" x14ac:dyDescent="0.25">
      <c r="BV200" s="255" t="str">
        <f t="shared" si="122"/>
        <v>D.LL.6_13S.1200102</v>
      </c>
      <c r="BW200" s="32" t="s">
        <v>502</v>
      </c>
      <c r="BX200" s="32" t="s">
        <v>731</v>
      </c>
      <c r="BY200" s="32" t="s">
        <v>676</v>
      </c>
      <c r="BZ200" s="32">
        <v>1200102</v>
      </c>
      <c r="CA200" s="32">
        <v>1061</v>
      </c>
      <c r="CB200" s="265"/>
      <c r="CC200" s="266"/>
      <c r="CD200" s="257"/>
      <c r="CE200" s="265"/>
      <c r="DQ200" s="33"/>
      <c r="DR200" s="32"/>
      <c r="DS200" s="32"/>
      <c r="DT200" s="32"/>
      <c r="DU200" s="19"/>
      <c r="EI200" s="46"/>
      <c r="EJ200" s="32"/>
      <c r="EK200" s="34"/>
      <c r="EL200" s="32"/>
    </row>
    <row r="201" spans="74:142" x14ac:dyDescent="0.25">
      <c r="BV201" s="255" t="str">
        <f t="shared" si="122"/>
        <v>D.LL.6H_14S.1200102</v>
      </c>
      <c r="BW201" s="32" t="s">
        <v>502</v>
      </c>
      <c r="BX201" s="32" t="s">
        <v>731</v>
      </c>
      <c r="BY201" s="32" t="s">
        <v>680</v>
      </c>
      <c r="BZ201" s="32">
        <v>1200102</v>
      </c>
      <c r="CA201" s="32">
        <v>1101</v>
      </c>
      <c r="CB201" s="265"/>
      <c r="CC201" s="237" t="s">
        <v>520</v>
      </c>
      <c r="CD201" s="257"/>
      <c r="CE201" s="265"/>
      <c r="DQ201" s="33"/>
      <c r="DR201" s="32"/>
      <c r="DS201" s="32"/>
      <c r="DT201" s="32"/>
      <c r="DU201" s="19"/>
      <c r="EI201" s="46"/>
      <c r="EJ201" s="32"/>
      <c r="EK201" s="34"/>
      <c r="EL201" s="32"/>
    </row>
    <row r="202" spans="74:142" x14ac:dyDescent="0.25">
      <c r="BV202" s="255" t="str">
        <f t="shared" si="122"/>
        <v>D.LL.6H_14x8S.1200102</v>
      </c>
      <c r="BW202" s="32" t="s">
        <v>502</v>
      </c>
      <c r="BX202" s="32" t="s">
        <v>731</v>
      </c>
      <c r="BY202" s="32" t="s">
        <v>682</v>
      </c>
      <c r="BZ202" s="32">
        <v>1200102</v>
      </c>
      <c r="CA202" s="32">
        <v>1101</v>
      </c>
      <c r="CB202" s="265"/>
      <c r="CC202" s="263" t="s">
        <v>1091</v>
      </c>
      <c r="CD202" s="279">
        <v>30</v>
      </c>
      <c r="CE202" s="265"/>
      <c r="DQ202" s="33"/>
      <c r="DR202" s="32"/>
      <c r="DS202" s="32"/>
      <c r="DT202" s="34"/>
      <c r="DU202" s="19"/>
      <c r="EI202" s="46"/>
      <c r="EJ202" s="32"/>
      <c r="EK202" s="34"/>
      <c r="EL202" s="32"/>
    </row>
    <row r="203" spans="74:142" x14ac:dyDescent="0.25">
      <c r="BV203" s="255" t="str">
        <f t="shared" si="122"/>
        <v>D.LL.8_14S.1200102</v>
      </c>
      <c r="BW203" s="32" t="s">
        <v>502</v>
      </c>
      <c r="BX203" s="32" t="s">
        <v>731</v>
      </c>
      <c r="BY203" s="32" t="s">
        <v>678</v>
      </c>
      <c r="BZ203" s="32">
        <v>1200102</v>
      </c>
      <c r="CA203" s="32">
        <v>1152</v>
      </c>
      <c r="CB203" s="265"/>
      <c r="CC203" s="266"/>
      <c r="CD203" s="257"/>
      <c r="CE203" s="265"/>
      <c r="DQ203" s="33"/>
      <c r="DR203" s="32"/>
      <c r="DS203" s="32"/>
      <c r="DT203" s="32"/>
      <c r="DU203" s="19"/>
      <c r="EI203" s="46"/>
      <c r="EJ203" s="32"/>
      <c r="EK203" s="34"/>
      <c r="EL203" s="32"/>
    </row>
    <row r="204" spans="74:142" x14ac:dyDescent="0.25">
      <c r="BV204" s="255" t="str">
        <f t="shared" si="122"/>
        <v>D.LL.10_12T.1200102</v>
      </c>
      <c r="BW204" s="32" t="s">
        <v>502</v>
      </c>
      <c r="BX204" s="32" t="s">
        <v>731</v>
      </c>
      <c r="BY204" s="32" t="s">
        <v>713</v>
      </c>
      <c r="BZ204" s="32">
        <v>1200102</v>
      </c>
      <c r="CA204" s="32">
        <v>1330</v>
      </c>
      <c r="CB204" s="265"/>
      <c r="CC204" s="266"/>
      <c r="CD204" s="257"/>
      <c r="CE204" s="265"/>
      <c r="DQ204" s="36"/>
      <c r="DR204" s="32"/>
      <c r="DS204" s="32"/>
      <c r="DT204" s="32"/>
      <c r="DU204" s="19"/>
      <c r="EI204" s="46"/>
      <c r="EJ204" s="32"/>
      <c r="EK204" s="34"/>
      <c r="EL204" s="32"/>
    </row>
    <row r="205" spans="74:142" x14ac:dyDescent="0.25">
      <c r="BV205" s="255" t="str">
        <f t="shared" si="122"/>
        <v>D.LL.10_13T.1200102</v>
      </c>
      <c r="BW205" s="32" t="s">
        <v>502</v>
      </c>
      <c r="BX205" s="32" t="s">
        <v>731</v>
      </c>
      <c r="BY205" s="32" t="s">
        <v>715</v>
      </c>
      <c r="BZ205" s="32">
        <v>1200102</v>
      </c>
      <c r="CA205" s="32">
        <v>1341</v>
      </c>
      <c r="CB205" s="265"/>
      <c r="CC205" s="237" t="s">
        <v>907</v>
      </c>
      <c r="CD205" s="257"/>
      <c r="CE205" s="265"/>
      <c r="DQ205" s="33"/>
      <c r="DR205" s="32"/>
      <c r="DS205" s="32"/>
      <c r="DT205" s="32"/>
      <c r="DU205" s="19"/>
      <c r="EI205" s="46"/>
      <c r="EJ205" s="32"/>
      <c r="EK205" s="34"/>
      <c r="EL205" s="32"/>
    </row>
    <row r="206" spans="74:142" x14ac:dyDescent="0.25">
      <c r="BV206" s="255" t="str">
        <f t="shared" si="122"/>
        <v>D.LL.10_14T.1200102</v>
      </c>
      <c r="BW206" s="32" t="s">
        <v>502</v>
      </c>
      <c r="BX206" s="32" t="s">
        <v>731</v>
      </c>
      <c r="BY206" s="32" t="s">
        <v>718</v>
      </c>
      <c r="BZ206" s="32">
        <v>1200102</v>
      </c>
      <c r="CA206" s="32">
        <v>1467</v>
      </c>
      <c r="CB206" s="265"/>
      <c r="CC206" s="263" t="s">
        <v>607</v>
      </c>
      <c r="CD206" s="279">
        <v>100</v>
      </c>
      <c r="CE206" s="265"/>
      <c r="DQ206" s="33"/>
      <c r="DR206" s="32"/>
      <c r="DS206" s="32"/>
      <c r="DT206" s="34"/>
      <c r="DU206" s="19"/>
      <c r="EI206" s="46"/>
      <c r="EJ206" s="32"/>
      <c r="EK206" s="34"/>
      <c r="EL206" s="32"/>
    </row>
    <row r="207" spans="74:142" x14ac:dyDescent="0.25">
      <c r="BV207" s="255" t="str">
        <f t="shared" si="122"/>
        <v>D.LL.11_12T.1200102</v>
      </c>
      <c r="BW207" s="32" t="s">
        <v>502</v>
      </c>
      <c r="BX207" s="32" t="s">
        <v>731</v>
      </c>
      <c r="BY207" s="32" t="s">
        <v>714</v>
      </c>
      <c r="BZ207" s="32">
        <v>1200102</v>
      </c>
      <c r="CA207" s="32">
        <v>1330</v>
      </c>
      <c r="CB207" s="265"/>
      <c r="CC207" s="263"/>
      <c r="CD207" s="257"/>
      <c r="CE207" s="265"/>
      <c r="DQ207" s="36"/>
      <c r="DR207" s="32"/>
      <c r="DS207" s="32"/>
      <c r="DT207" s="34"/>
      <c r="DU207" s="19"/>
      <c r="EI207" s="46"/>
      <c r="EJ207" s="32"/>
      <c r="EK207" s="34"/>
      <c r="EL207" s="32"/>
    </row>
    <row r="208" spans="74:142" x14ac:dyDescent="0.25">
      <c r="BV208" s="255" t="str">
        <f t="shared" si="122"/>
        <v>D.LL.11_13T.1200102</v>
      </c>
      <c r="BW208" s="32" t="s">
        <v>502</v>
      </c>
      <c r="BX208" s="32" t="s">
        <v>731</v>
      </c>
      <c r="BY208" s="32" t="s">
        <v>716</v>
      </c>
      <c r="BZ208" s="32">
        <v>1200102</v>
      </c>
      <c r="CA208" s="32">
        <v>1341</v>
      </c>
      <c r="CB208" s="265"/>
      <c r="CC208" s="263"/>
      <c r="CD208" s="257"/>
      <c r="CE208" s="265"/>
      <c r="DQ208" s="33"/>
      <c r="DR208" s="32"/>
      <c r="DS208" s="32"/>
      <c r="DT208" s="32"/>
      <c r="DU208" s="19"/>
      <c r="EI208" s="46"/>
      <c r="EJ208" s="32"/>
      <c r="EK208" s="34"/>
      <c r="EL208" s="32"/>
    </row>
    <row r="209" spans="74:142" x14ac:dyDescent="0.25">
      <c r="BV209" s="255" t="str">
        <f t="shared" si="122"/>
        <v>D.LL.11_14T.1200102</v>
      </c>
      <c r="BW209" s="32" t="s">
        <v>502</v>
      </c>
      <c r="BX209" s="32" t="s">
        <v>731</v>
      </c>
      <c r="BY209" s="32" t="s">
        <v>719</v>
      </c>
      <c r="BZ209" s="32">
        <v>1200102</v>
      </c>
      <c r="CA209" s="32">
        <v>1467</v>
      </c>
      <c r="CB209" s="265"/>
      <c r="CC209" s="263"/>
      <c r="CD209" s="257"/>
      <c r="CE209" s="265"/>
      <c r="DQ209" s="33"/>
      <c r="DR209" s="32"/>
      <c r="DS209" s="32"/>
      <c r="DT209" s="32"/>
      <c r="DU209" s="19"/>
      <c r="EI209" s="46"/>
      <c r="EJ209" s="32"/>
      <c r="EK209" s="34"/>
      <c r="EL209" s="32"/>
    </row>
    <row r="210" spans="74:142" x14ac:dyDescent="0.25">
      <c r="BV210" s="255" t="str">
        <f t="shared" si="122"/>
        <v>D.LL.12_13T.1200102</v>
      </c>
      <c r="BW210" s="32" t="s">
        <v>502</v>
      </c>
      <c r="BX210" s="32" t="s">
        <v>731</v>
      </c>
      <c r="BY210" s="32" t="s">
        <v>717</v>
      </c>
      <c r="BZ210" s="32">
        <v>1200102</v>
      </c>
      <c r="CA210" s="32">
        <v>1341</v>
      </c>
      <c r="CB210" s="265"/>
      <c r="CC210" s="263"/>
      <c r="CD210" s="257"/>
      <c r="CE210" s="265"/>
      <c r="DQ210" s="33"/>
      <c r="DR210" s="32"/>
      <c r="DS210" s="32"/>
      <c r="DT210" s="32"/>
      <c r="DU210" s="19"/>
      <c r="EI210" s="46"/>
      <c r="EJ210" s="32"/>
      <c r="EK210" s="34"/>
      <c r="EL210" s="32"/>
    </row>
    <row r="211" spans="74:142" x14ac:dyDescent="0.25">
      <c r="BV211" s="255" t="str">
        <f t="shared" si="122"/>
        <v>D.LL.12_14T.1200102</v>
      </c>
      <c r="BW211" s="32" t="s">
        <v>502</v>
      </c>
      <c r="BX211" s="32" t="s">
        <v>731</v>
      </c>
      <c r="BY211" s="32" t="s">
        <v>720</v>
      </c>
      <c r="BZ211" s="32">
        <v>1200102</v>
      </c>
      <c r="CA211" s="32">
        <v>1467</v>
      </c>
      <c r="CB211" s="265"/>
      <c r="CC211" s="263"/>
      <c r="CD211" s="257"/>
      <c r="CE211" s="265"/>
      <c r="DQ211" s="36"/>
      <c r="DR211" s="32"/>
      <c r="DS211" s="32"/>
      <c r="DT211" s="32"/>
      <c r="DU211" s="19"/>
      <c r="EI211" s="46"/>
      <c r="EJ211" s="32"/>
      <c r="EK211" s="34"/>
      <c r="EL211" s="32"/>
    </row>
    <row r="212" spans="74:142" x14ac:dyDescent="0.25">
      <c r="BV212" s="255" t="str">
        <f t="shared" si="122"/>
        <v>D.LL.12_15T.1200102</v>
      </c>
      <c r="BW212" s="32" t="s">
        <v>502</v>
      </c>
      <c r="BX212" s="32" t="s">
        <v>731</v>
      </c>
      <c r="BY212" s="32" t="s">
        <v>723</v>
      </c>
      <c r="BZ212" s="32">
        <v>1200102</v>
      </c>
      <c r="CA212" s="32">
        <v>1530</v>
      </c>
      <c r="CB212" s="265"/>
      <c r="CC212" s="263"/>
      <c r="CD212" s="257"/>
      <c r="CE212" s="265"/>
      <c r="DQ212" s="36"/>
      <c r="DR212" s="32"/>
      <c r="DS212" s="32"/>
      <c r="DT212" s="32"/>
      <c r="DU212" s="19"/>
      <c r="EI212" s="46"/>
      <c r="EJ212" s="32"/>
      <c r="EK212" s="34"/>
      <c r="EL212" s="32"/>
    </row>
    <row r="213" spans="74:142" x14ac:dyDescent="0.25">
      <c r="BV213" s="255" t="str">
        <f t="shared" si="122"/>
        <v>D.LL.13_14T.1200102</v>
      </c>
      <c r="BW213" s="32" t="s">
        <v>502</v>
      </c>
      <c r="BX213" s="32" t="s">
        <v>731</v>
      </c>
      <c r="BY213" s="32" t="s">
        <v>721</v>
      </c>
      <c r="BZ213" s="32">
        <v>1200102</v>
      </c>
      <c r="CA213" s="32">
        <v>1467</v>
      </c>
      <c r="CB213" s="265"/>
      <c r="CC213" s="263"/>
      <c r="CD213" s="257"/>
      <c r="CE213" s="265"/>
      <c r="DQ213" s="33"/>
      <c r="DR213" s="32"/>
      <c r="DS213" s="32"/>
      <c r="DT213" s="32"/>
      <c r="DU213" s="19"/>
      <c r="EI213" s="46"/>
      <c r="EJ213" s="32"/>
      <c r="EK213" s="34"/>
      <c r="EL213" s="32"/>
    </row>
    <row r="214" spans="74:142" x14ac:dyDescent="0.25">
      <c r="BV214" s="255" t="str">
        <f t="shared" ref="BV214:BV277" si="141">CONCATENATE(BW214,".",BX214,".",BY214,".",BZ214)</f>
        <v>D.LL.13_15T.1200102</v>
      </c>
      <c r="BW214" s="32" t="s">
        <v>502</v>
      </c>
      <c r="BX214" s="32" t="s">
        <v>731</v>
      </c>
      <c r="BY214" s="32" t="s">
        <v>724</v>
      </c>
      <c r="BZ214" s="32">
        <v>1200102</v>
      </c>
      <c r="CA214" s="32">
        <v>1530</v>
      </c>
      <c r="CB214" s="265"/>
      <c r="CC214" s="263"/>
      <c r="CD214" s="257"/>
      <c r="CE214" s="265"/>
      <c r="DQ214" s="33"/>
      <c r="DR214" s="32"/>
      <c r="DS214" s="32"/>
      <c r="DT214" s="32"/>
      <c r="DU214" s="19"/>
      <c r="EI214" s="46"/>
      <c r="EJ214" s="32"/>
      <c r="EK214" s="34"/>
      <c r="EL214" s="32"/>
    </row>
    <row r="215" spans="74:142" x14ac:dyDescent="0.25">
      <c r="BV215" s="255" t="str">
        <f t="shared" si="141"/>
        <v>D.LL.13_16T.1200102</v>
      </c>
      <c r="BW215" s="32" t="s">
        <v>502</v>
      </c>
      <c r="BX215" s="32" t="s">
        <v>731</v>
      </c>
      <c r="BY215" s="32" t="s">
        <v>726</v>
      </c>
      <c r="BZ215" s="32">
        <v>1200102</v>
      </c>
      <c r="CA215" s="32">
        <v>1609</v>
      </c>
      <c r="CB215" s="265"/>
      <c r="CC215" s="263"/>
      <c r="CD215" s="257"/>
      <c r="CE215" s="265"/>
      <c r="DQ215" s="33"/>
      <c r="DR215" s="32"/>
      <c r="DS215" s="32"/>
      <c r="DT215" s="32"/>
      <c r="DU215" s="19"/>
      <c r="EI215" s="46"/>
      <c r="EJ215" s="32"/>
      <c r="EK215" s="34"/>
      <c r="EL215" s="32"/>
    </row>
    <row r="216" spans="74:142" x14ac:dyDescent="0.25">
      <c r="BV216" s="255" t="str">
        <f t="shared" si="141"/>
        <v>D.LL.14_14T.1200102</v>
      </c>
      <c r="BW216" s="32" t="s">
        <v>502</v>
      </c>
      <c r="BX216" s="32" t="s">
        <v>731</v>
      </c>
      <c r="BY216" s="32" t="s">
        <v>722</v>
      </c>
      <c r="BZ216" s="32">
        <v>1200102</v>
      </c>
      <c r="CA216" s="32">
        <v>1467</v>
      </c>
      <c r="CB216" s="265"/>
      <c r="CC216" s="263"/>
      <c r="CD216" s="257"/>
      <c r="CE216" s="265"/>
      <c r="DQ216" s="33"/>
      <c r="DR216" s="32"/>
      <c r="DS216" s="32"/>
      <c r="DT216" s="32"/>
      <c r="DU216" s="19"/>
      <c r="EI216" s="46"/>
      <c r="EJ216" s="32"/>
      <c r="EK216" s="34"/>
      <c r="EL216" s="32"/>
    </row>
    <row r="217" spans="74:142" x14ac:dyDescent="0.25">
      <c r="BV217" s="255" t="str">
        <f t="shared" si="141"/>
        <v>D.LL.14_15T.1200102</v>
      </c>
      <c r="BW217" s="32" t="s">
        <v>502</v>
      </c>
      <c r="BX217" s="32" t="s">
        <v>731</v>
      </c>
      <c r="BY217" s="32" t="s">
        <v>725</v>
      </c>
      <c r="BZ217" s="32">
        <v>1200102</v>
      </c>
      <c r="CA217" s="32">
        <v>1530</v>
      </c>
      <c r="CB217" s="265"/>
      <c r="CC217" s="263"/>
      <c r="CD217" s="257"/>
      <c r="CE217" s="265"/>
      <c r="DQ217" s="33"/>
      <c r="DR217" s="32"/>
      <c r="DS217" s="32"/>
      <c r="DT217" s="34"/>
      <c r="DU217" s="19"/>
      <c r="EI217" s="46"/>
      <c r="EJ217" s="32"/>
      <c r="EK217" s="34"/>
      <c r="EL217" s="32"/>
    </row>
    <row r="218" spans="74:142" x14ac:dyDescent="0.25">
      <c r="BV218" s="255" t="str">
        <f t="shared" si="141"/>
        <v>D.LL.14_16T.1200102</v>
      </c>
      <c r="BW218" s="32" t="s">
        <v>502</v>
      </c>
      <c r="BX218" s="32" t="s">
        <v>731</v>
      </c>
      <c r="BY218" s="32" t="s">
        <v>727</v>
      </c>
      <c r="BZ218" s="32">
        <v>1200102</v>
      </c>
      <c r="CA218" s="32">
        <v>1609</v>
      </c>
      <c r="CB218" s="265"/>
      <c r="CC218" s="263"/>
      <c r="CD218" s="257"/>
      <c r="CE218" s="265"/>
      <c r="DQ218" s="33"/>
      <c r="DR218" s="32"/>
      <c r="DS218" s="32"/>
      <c r="DT218" s="32"/>
      <c r="DU218" s="19"/>
      <c r="EI218" s="46"/>
      <c r="EJ218" s="32"/>
      <c r="EK218" s="34"/>
      <c r="EL218" s="32"/>
    </row>
    <row r="219" spans="74:142" x14ac:dyDescent="0.25">
      <c r="BV219" s="255" t="str">
        <f t="shared" si="141"/>
        <v>D.LL.15_16T.1200102</v>
      </c>
      <c r="BW219" s="32" t="s">
        <v>502</v>
      </c>
      <c r="BX219" s="32" t="s">
        <v>731</v>
      </c>
      <c r="BY219" s="32" t="s">
        <v>728</v>
      </c>
      <c r="BZ219" s="32">
        <v>1200102</v>
      </c>
      <c r="CA219" s="32">
        <v>1609</v>
      </c>
      <c r="CB219" s="265"/>
      <c r="CC219" s="263"/>
      <c r="CD219" s="257"/>
      <c r="CE219" s="265"/>
      <c r="DQ219" s="33"/>
      <c r="DR219" s="32"/>
      <c r="DS219" s="32"/>
      <c r="DT219" s="32"/>
      <c r="DU219" s="19"/>
      <c r="EI219" s="46"/>
      <c r="EJ219" s="32"/>
      <c r="EK219" s="34"/>
      <c r="EL219" s="32"/>
    </row>
    <row r="220" spans="74:142" x14ac:dyDescent="0.25">
      <c r="BV220" s="255" t="str">
        <f t="shared" si="141"/>
        <v>D.LL.16_16T.1200102</v>
      </c>
      <c r="BW220" s="32" t="s">
        <v>502</v>
      </c>
      <c r="BX220" s="32" t="s">
        <v>731</v>
      </c>
      <c r="BY220" s="32" t="s">
        <v>729</v>
      </c>
      <c r="BZ220" s="32">
        <v>1200102</v>
      </c>
      <c r="CA220" s="32">
        <v>1609</v>
      </c>
      <c r="CB220" s="265"/>
      <c r="CC220" s="263"/>
      <c r="CD220" s="257"/>
      <c r="CE220" s="265"/>
      <c r="DQ220" s="33"/>
      <c r="DR220" s="32"/>
      <c r="DS220" s="32"/>
      <c r="DT220" s="32"/>
      <c r="DU220" s="19"/>
      <c r="EI220" s="46"/>
      <c r="EJ220" s="32"/>
      <c r="EK220" s="34"/>
      <c r="EL220" s="32"/>
    </row>
    <row r="221" spans="74:142" x14ac:dyDescent="0.25">
      <c r="BV221" s="255" t="str">
        <f t="shared" si="141"/>
        <v>D.LL.7_10T.1200102</v>
      </c>
      <c r="BW221" s="32" t="s">
        <v>502</v>
      </c>
      <c r="BX221" s="32" t="s">
        <v>731</v>
      </c>
      <c r="BY221" s="32" t="s">
        <v>668</v>
      </c>
      <c r="BZ221" s="32">
        <v>1200102</v>
      </c>
      <c r="CA221" s="32">
        <v>1446</v>
      </c>
      <c r="CB221" s="265"/>
      <c r="CC221" s="263"/>
      <c r="CD221" s="257"/>
      <c r="CE221" s="265"/>
      <c r="DQ221" s="33"/>
      <c r="DR221" s="32"/>
      <c r="DS221" s="32"/>
      <c r="DT221" s="32"/>
      <c r="DU221" s="19"/>
      <c r="EI221" s="46"/>
      <c r="EJ221" s="32"/>
      <c r="EK221" s="34"/>
      <c r="EL221" s="32"/>
    </row>
    <row r="222" spans="74:142" x14ac:dyDescent="0.25">
      <c r="BV222" s="255" t="str">
        <f t="shared" si="141"/>
        <v>D.LL.7H_10T.1200102</v>
      </c>
      <c r="BW222" s="32" t="s">
        <v>502</v>
      </c>
      <c r="BX222" s="32" t="s">
        <v>731</v>
      </c>
      <c r="BY222" s="32" t="s">
        <v>674</v>
      </c>
      <c r="BZ222" s="32">
        <v>1200102</v>
      </c>
      <c r="CA222" s="32">
        <v>1446</v>
      </c>
      <c r="CB222" s="265"/>
      <c r="CC222" s="266"/>
      <c r="CD222" s="257"/>
      <c r="CE222" s="265"/>
      <c r="DQ222" s="36"/>
      <c r="DR222" s="32"/>
      <c r="DS222" s="32"/>
      <c r="DT222" s="32"/>
      <c r="DU222" s="19"/>
      <c r="EI222" s="46"/>
      <c r="EJ222" s="32"/>
      <c r="EK222" s="34"/>
      <c r="EL222" s="32"/>
    </row>
    <row r="223" spans="74:142" x14ac:dyDescent="0.25">
      <c r="BV223" s="255" t="str">
        <f t="shared" si="141"/>
        <v>D.LL.8_10T.1200102</v>
      </c>
      <c r="BW223" s="32" t="s">
        <v>502</v>
      </c>
      <c r="BX223" s="32" t="s">
        <v>731</v>
      </c>
      <c r="BY223" s="32" t="s">
        <v>669</v>
      </c>
      <c r="BZ223" s="32">
        <v>1200102</v>
      </c>
      <c r="CA223" s="32">
        <v>1446</v>
      </c>
      <c r="CB223" s="265"/>
      <c r="CC223" s="266"/>
      <c r="CD223" s="257"/>
      <c r="CE223" s="265"/>
      <c r="DQ223" s="33"/>
      <c r="DR223" s="32"/>
      <c r="DS223" s="32"/>
      <c r="DT223" s="34"/>
      <c r="DU223" s="19"/>
      <c r="EI223" s="46"/>
      <c r="EJ223" s="32"/>
      <c r="EK223" s="34"/>
      <c r="EL223" s="32"/>
    </row>
    <row r="224" spans="74:142" x14ac:dyDescent="0.25">
      <c r="BV224" s="255" t="str">
        <f t="shared" si="141"/>
        <v>D.LL.8_12T.1200102</v>
      </c>
      <c r="BW224" s="32" t="s">
        <v>502</v>
      </c>
      <c r="BX224" s="32" t="s">
        <v>731</v>
      </c>
      <c r="BY224" s="32" t="s">
        <v>671</v>
      </c>
      <c r="BZ224" s="32">
        <v>1200102</v>
      </c>
      <c r="CA224" s="32">
        <v>1330</v>
      </c>
      <c r="CB224" s="265"/>
      <c r="CC224" s="266"/>
      <c r="CD224" s="257"/>
      <c r="CE224" s="265"/>
      <c r="DQ224" s="33"/>
      <c r="DR224" s="32"/>
      <c r="DS224" s="32"/>
      <c r="DT224" s="34"/>
      <c r="DU224" s="19"/>
      <c r="EI224" s="46"/>
      <c r="EJ224" s="32"/>
      <c r="EK224" s="34"/>
      <c r="EL224" s="32"/>
    </row>
    <row r="225" spans="74:142" x14ac:dyDescent="0.25">
      <c r="BV225" s="255" t="str">
        <f t="shared" si="141"/>
        <v>D.LL.9_10T.1200102</v>
      </c>
      <c r="BW225" s="32" t="s">
        <v>502</v>
      </c>
      <c r="BX225" s="32" t="s">
        <v>731</v>
      </c>
      <c r="BY225" s="32" t="s">
        <v>670</v>
      </c>
      <c r="BZ225" s="32">
        <v>1200102</v>
      </c>
      <c r="CA225" s="32">
        <v>1446</v>
      </c>
      <c r="CB225" s="265"/>
      <c r="CC225" s="266"/>
      <c r="CD225" s="257"/>
      <c r="CE225" s="265"/>
      <c r="DQ225" s="33"/>
      <c r="DR225" s="32"/>
      <c r="DS225" s="32"/>
      <c r="DT225" s="32"/>
      <c r="DU225" s="19"/>
      <c r="EI225" s="46"/>
      <c r="EJ225" s="32"/>
      <c r="EK225" s="34"/>
      <c r="EL225" s="32"/>
    </row>
    <row r="226" spans="74:142" x14ac:dyDescent="0.25">
      <c r="BV226" s="255" t="str">
        <f t="shared" si="141"/>
        <v>D.LL.9_12T.1200102</v>
      </c>
      <c r="BW226" s="32" t="s">
        <v>502</v>
      </c>
      <c r="BX226" s="32" t="s">
        <v>731</v>
      </c>
      <c r="BY226" s="32" t="s">
        <v>672</v>
      </c>
      <c r="BZ226" s="32">
        <v>1200102</v>
      </c>
      <c r="CA226" s="32">
        <v>1330</v>
      </c>
      <c r="CB226" s="265"/>
      <c r="CC226" s="266"/>
      <c r="CD226" s="257"/>
      <c r="CE226" s="265"/>
      <c r="DQ226" s="33"/>
      <c r="DR226" s="32"/>
      <c r="DS226" s="32"/>
      <c r="DT226" s="34"/>
      <c r="DU226" s="19"/>
      <c r="EI226" s="46"/>
      <c r="EJ226" s="32"/>
      <c r="EK226" s="34"/>
      <c r="EL226" s="32"/>
    </row>
    <row r="227" spans="74:142" x14ac:dyDescent="0.25">
      <c r="BV227" s="255" t="str">
        <f t="shared" si="141"/>
        <v>D.LL.9_13T.1200102</v>
      </c>
      <c r="BW227" s="32" t="s">
        <v>502</v>
      </c>
      <c r="BX227" s="32" t="s">
        <v>731</v>
      </c>
      <c r="BY227" s="32" t="s">
        <v>673</v>
      </c>
      <c r="BZ227" s="32">
        <v>1200102</v>
      </c>
      <c r="CA227" s="32">
        <v>1341</v>
      </c>
      <c r="CB227" s="265"/>
      <c r="CC227" s="266"/>
      <c r="CD227" s="257"/>
      <c r="CE227" s="265"/>
      <c r="DQ227" s="33"/>
      <c r="DR227" s="32"/>
      <c r="DS227" s="32"/>
      <c r="DT227" s="34"/>
      <c r="DU227" s="19"/>
      <c r="EI227" s="46"/>
      <c r="EJ227" s="32"/>
      <c r="EK227" s="34"/>
      <c r="EL227" s="32"/>
    </row>
    <row r="228" spans="74:142" x14ac:dyDescent="0.25">
      <c r="BV228" s="255" t="str">
        <f t="shared" si="141"/>
        <v>D.LL.9_14T.1200102</v>
      </c>
      <c r="BW228" s="32" t="s">
        <v>502</v>
      </c>
      <c r="BX228" s="32" t="s">
        <v>731</v>
      </c>
      <c r="BY228" s="32" t="s">
        <v>737</v>
      </c>
      <c r="BZ228" s="32">
        <v>1200102</v>
      </c>
      <c r="CA228" s="32">
        <v>1467</v>
      </c>
      <c r="CB228" s="265"/>
      <c r="CC228" s="266"/>
      <c r="CD228" s="257"/>
      <c r="CE228" s="265"/>
      <c r="DQ228" s="36"/>
      <c r="DR228" s="32"/>
      <c r="DS228" s="32"/>
      <c r="DT228" s="34"/>
      <c r="DU228" s="19"/>
      <c r="EI228" s="46"/>
      <c r="EJ228" s="32"/>
      <c r="EK228" s="34"/>
      <c r="EL228" s="32"/>
    </row>
    <row r="229" spans="74:142" x14ac:dyDescent="0.25">
      <c r="BV229" s="255" t="str">
        <f t="shared" si="141"/>
        <v>D.LM.12_18B.1200102</v>
      </c>
      <c r="BW229" s="32" t="s">
        <v>502</v>
      </c>
      <c r="BX229" s="32" t="s">
        <v>398</v>
      </c>
      <c r="BY229" s="32" t="s">
        <v>683</v>
      </c>
      <c r="BZ229" s="32">
        <v>1200102</v>
      </c>
      <c r="CA229" s="32">
        <v>2546</v>
      </c>
      <c r="CB229" s="265"/>
      <c r="CC229" s="266"/>
      <c r="CD229" s="257"/>
      <c r="CE229" s="265"/>
      <c r="DQ229" s="36"/>
      <c r="DR229" s="32"/>
      <c r="DS229" s="32"/>
      <c r="DT229" s="34"/>
      <c r="DU229" s="19"/>
      <c r="EI229" s="46"/>
      <c r="EJ229" s="32"/>
      <c r="EK229" s="34"/>
      <c r="EL229" s="32"/>
    </row>
    <row r="230" spans="74:142" x14ac:dyDescent="0.25">
      <c r="BV230" s="255" t="str">
        <f t="shared" si="141"/>
        <v>D.LM.12_20B.1200102</v>
      </c>
      <c r="BW230" s="32" t="s">
        <v>502</v>
      </c>
      <c r="BX230" s="32" t="s">
        <v>398</v>
      </c>
      <c r="BY230" s="32" t="s">
        <v>686</v>
      </c>
      <c r="BZ230" s="32">
        <v>1200102</v>
      </c>
      <c r="CA230" s="32">
        <v>2567</v>
      </c>
      <c r="CB230" s="265"/>
      <c r="CC230" s="266"/>
      <c r="CD230" s="257"/>
      <c r="CE230" s="265"/>
      <c r="DQ230" s="33"/>
      <c r="DR230" s="32"/>
      <c r="DS230" s="32"/>
      <c r="DT230" s="34"/>
      <c r="DU230" s="19"/>
      <c r="EI230" s="46"/>
      <c r="EJ230" s="32"/>
      <c r="EK230" s="34"/>
      <c r="EL230" s="32"/>
    </row>
    <row r="231" spans="74:142" x14ac:dyDescent="0.25">
      <c r="BV231" s="255" t="str">
        <f t="shared" si="141"/>
        <v>D.LM.12_22B.1200102</v>
      </c>
      <c r="BW231" s="32" t="s">
        <v>502</v>
      </c>
      <c r="BX231" s="32" t="s">
        <v>398</v>
      </c>
      <c r="BY231" s="32" t="s">
        <v>690</v>
      </c>
      <c r="BZ231" s="32">
        <v>1200102</v>
      </c>
      <c r="CA231" s="32">
        <v>2577</v>
      </c>
      <c r="CB231" s="265"/>
      <c r="CC231" s="274"/>
      <c r="CD231" s="257"/>
      <c r="CE231" s="273"/>
      <c r="DQ231" s="36"/>
      <c r="DR231" s="32"/>
      <c r="DS231" s="32"/>
      <c r="DT231" s="34"/>
      <c r="DU231" s="19"/>
      <c r="EI231" s="46"/>
      <c r="EJ231" s="32"/>
      <c r="EK231" s="34"/>
      <c r="EL231" s="32"/>
    </row>
    <row r="232" spans="74:142" x14ac:dyDescent="0.25">
      <c r="BV232" s="255" t="str">
        <f t="shared" si="141"/>
        <v>D.LM.12_24B.1200102</v>
      </c>
      <c r="BW232" s="32" t="s">
        <v>502</v>
      </c>
      <c r="BX232" s="32" t="s">
        <v>398</v>
      </c>
      <c r="BY232" s="32" t="s">
        <v>695</v>
      </c>
      <c r="BZ232" s="32">
        <v>1200102</v>
      </c>
      <c r="CA232" s="32">
        <v>2719</v>
      </c>
      <c r="CB232" s="265"/>
      <c r="CC232" s="274"/>
      <c r="CD232" s="257"/>
      <c r="CE232" s="273"/>
      <c r="DQ232" s="36"/>
      <c r="DR232" s="32"/>
      <c r="DS232" s="32"/>
      <c r="DT232" s="32"/>
      <c r="DU232" s="19"/>
      <c r="EI232" s="46"/>
      <c r="EJ232" s="32"/>
      <c r="EK232" s="34"/>
      <c r="EL232" s="32"/>
    </row>
    <row r="233" spans="74:142" x14ac:dyDescent="0.25">
      <c r="BV233" s="255" t="str">
        <f t="shared" si="141"/>
        <v>D.LM.12_26B.1200102</v>
      </c>
      <c r="BW233" s="32" t="s">
        <v>502</v>
      </c>
      <c r="BX233" s="32" t="s">
        <v>398</v>
      </c>
      <c r="BY233" s="32" t="s">
        <v>700</v>
      </c>
      <c r="BZ233" s="32">
        <v>1200102</v>
      </c>
      <c r="CA233" s="32">
        <v>2740</v>
      </c>
      <c r="CB233" s="273"/>
      <c r="CC233" s="274"/>
      <c r="CD233" s="257"/>
      <c r="CE233" s="273"/>
      <c r="DQ233" s="36"/>
      <c r="DR233" s="32"/>
      <c r="DS233" s="32"/>
      <c r="DT233" s="34"/>
      <c r="DU233" s="19"/>
      <c r="EI233" s="46"/>
      <c r="EJ233" s="32"/>
      <c r="EK233" s="34"/>
      <c r="EL233" s="32"/>
    </row>
    <row r="234" spans="74:142" x14ac:dyDescent="0.25">
      <c r="BV234" s="255" t="str">
        <f t="shared" si="141"/>
        <v>D.LM.14_18B.1200102</v>
      </c>
      <c r="BW234" s="32" t="s">
        <v>502</v>
      </c>
      <c r="BX234" s="32" t="s">
        <v>398</v>
      </c>
      <c r="BY234" s="32" t="s">
        <v>684</v>
      </c>
      <c r="BZ234" s="32">
        <v>1200102</v>
      </c>
      <c r="CA234" s="32">
        <v>2546</v>
      </c>
      <c r="CB234" s="273"/>
      <c r="CC234" s="274"/>
      <c r="CD234" s="257"/>
      <c r="CE234" s="273"/>
      <c r="DQ234" s="36"/>
      <c r="DR234" s="32"/>
      <c r="DS234" s="32"/>
      <c r="DT234" s="34"/>
      <c r="DU234" s="19"/>
      <c r="EI234" s="46"/>
      <c r="EJ234" s="32"/>
      <c r="EK234" s="34"/>
      <c r="EL234" s="32"/>
    </row>
    <row r="235" spans="74:142" x14ac:dyDescent="0.25">
      <c r="BV235" s="255" t="str">
        <f t="shared" si="141"/>
        <v>D.LM.14_20B.1200102</v>
      </c>
      <c r="BW235" s="32" t="s">
        <v>502</v>
      </c>
      <c r="BX235" s="32" t="s">
        <v>398</v>
      </c>
      <c r="BY235" s="32" t="s">
        <v>687</v>
      </c>
      <c r="BZ235" s="32">
        <v>1200102</v>
      </c>
      <c r="CA235" s="32">
        <v>2567</v>
      </c>
      <c r="CB235" s="273"/>
      <c r="CC235" s="274"/>
      <c r="CD235" s="257"/>
      <c r="CE235" s="273"/>
      <c r="DQ235" s="36"/>
      <c r="DR235" s="32"/>
      <c r="DS235" s="32"/>
      <c r="DT235" s="34"/>
      <c r="DU235" s="19"/>
      <c r="EI235" s="46"/>
      <c r="EJ235" s="32"/>
      <c r="EK235" s="34"/>
      <c r="EL235" s="32"/>
    </row>
    <row r="236" spans="74:142" x14ac:dyDescent="0.25">
      <c r="BV236" s="255" t="str">
        <f t="shared" si="141"/>
        <v>D.LM.14_22B.1200102</v>
      </c>
      <c r="BW236" s="32" t="s">
        <v>502</v>
      </c>
      <c r="BX236" s="32" t="s">
        <v>398</v>
      </c>
      <c r="BY236" s="32" t="s">
        <v>691</v>
      </c>
      <c r="BZ236" s="32">
        <v>1200102</v>
      </c>
      <c r="CA236" s="32">
        <v>2577</v>
      </c>
      <c r="CB236" s="273"/>
      <c r="CC236" s="274"/>
      <c r="CD236" s="257"/>
      <c r="CE236" s="273"/>
      <c r="DQ236" s="36"/>
      <c r="DR236" s="32"/>
      <c r="DS236" s="32"/>
      <c r="DT236" s="32"/>
      <c r="DU236" s="19"/>
      <c r="EI236" s="46"/>
      <c r="EJ236" s="32"/>
      <c r="EK236" s="34"/>
      <c r="EL236" s="32"/>
    </row>
    <row r="237" spans="74:142" x14ac:dyDescent="0.25">
      <c r="BV237" s="255" t="str">
        <f t="shared" si="141"/>
        <v>D.LM.14_24B.1200102</v>
      </c>
      <c r="BW237" s="32" t="s">
        <v>502</v>
      </c>
      <c r="BX237" s="32" t="s">
        <v>398</v>
      </c>
      <c r="BY237" s="32" t="s">
        <v>696</v>
      </c>
      <c r="BZ237" s="32">
        <v>1200102</v>
      </c>
      <c r="CA237" s="32">
        <v>2719</v>
      </c>
      <c r="CB237" s="273"/>
      <c r="CC237" s="274"/>
      <c r="CD237" s="257"/>
      <c r="CE237" s="273"/>
      <c r="DQ237" s="33"/>
      <c r="DR237" s="32"/>
      <c r="DS237" s="32"/>
      <c r="DT237" s="32"/>
      <c r="DU237" s="19"/>
      <c r="EI237" s="46"/>
      <c r="EJ237" s="32"/>
      <c r="EK237" s="34"/>
      <c r="EL237" s="32"/>
    </row>
    <row r="238" spans="74:142" x14ac:dyDescent="0.25">
      <c r="BV238" s="255" t="str">
        <f t="shared" si="141"/>
        <v>D.LM.14_26B.1200102</v>
      </c>
      <c r="BW238" s="32" t="s">
        <v>502</v>
      </c>
      <c r="BX238" s="32" t="s">
        <v>398</v>
      </c>
      <c r="BY238" s="32" t="s">
        <v>701</v>
      </c>
      <c r="BZ238" s="32">
        <v>1200102</v>
      </c>
      <c r="CA238" s="32">
        <v>2740</v>
      </c>
      <c r="CB238" s="273"/>
      <c r="CC238" s="274"/>
      <c r="CD238" s="257"/>
      <c r="CE238" s="273"/>
      <c r="DQ238" s="36"/>
      <c r="DR238" s="32"/>
      <c r="DS238" s="32"/>
      <c r="DT238" s="32"/>
      <c r="DU238" s="19"/>
      <c r="EI238" s="46"/>
      <c r="EJ238" s="32"/>
      <c r="EK238" s="34"/>
      <c r="EL238" s="32"/>
    </row>
    <row r="239" spans="74:142" x14ac:dyDescent="0.25">
      <c r="BV239" s="255" t="str">
        <f t="shared" si="141"/>
        <v>D.LM.16_18B.1200102</v>
      </c>
      <c r="BW239" s="32" t="s">
        <v>502</v>
      </c>
      <c r="BX239" s="32" t="s">
        <v>398</v>
      </c>
      <c r="BY239" s="32" t="s">
        <v>685</v>
      </c>
      <c r="BZ239" s="32">
        <v>1200102</v>
      </c>
      <c r="CA239" s="32">
        <v>2546</v>
      </c>
      <c r="CB239" s="273"/>
      <c r="CC239" s="274"/>
      <c r="CD239" s="257"/>
      <c r="CE239" s="273"/>
      <c r="DQ239" s="36"/>
      <c r="DR239" s="32"/>
      <c r="DS239" s="32"/>
      <c r="DT239" s="32"/>
      <c r="DU239" s="19"/>
      <c r="EI239" s="46"/>
      <c r="EJ239" s="32"/>
      <c r="EK239" s="34"/>
      <c r="EL239" s="32"/>
    </row>
    <row r="240" spans="74:142" x14ac:dyDescent="0.25">
      <c r="BV240" s="255" t="str">
        <f t="shared" si="141"/>
        <v>D.LM.16_20B.1200102</v>
      </c>
      <c r="BW240" s="32" t="s">
        <v>502</v>
      </c>
      <c r="BX240" s="32" t="s">
        <v>398</v>
      </c>
      <c r="BY240" s="32" t="s">
        <v>688</v>
      </c>
      <c r="BZ240" s="32">
        <v>1200102</v>
      </c>
      <c r="CA240" s="32">
        <v>2567</v>
      </c>
      <c r="CB240" s="273"/>
      <c r="CC240" s="274"/>
      <c r="CD240" s="257"/>
      <c r="CE240" s="273"/>
      <c r="DQ240" s="36"/>
      <c r="DR240" s="32"/>
      <c r="DS240" s="32"/>
      <c r="DT240" s="34"/>
      <c r="DU240" s="19"/>
      <c r="EI240" s="46"/>
      <c r="EJ240" s="32"/>
      <c r="EK240" s="34"/>
      <c r="EL240" s="32"/>
    </row>
    <row r="241" spans="74:142" x14ac:dyDescent="0.25">
      <c r="BV241" s="255" t="str">
        <f t="shared" si="141"/>
        <v>D.LM.16_22B.1200102</v>
      </c>
      <c r="BW241" s="32" t="s">
        <v>502</v>
      </c>
      <c r="BX241" s="32" t="s">
        <v>398</v>
      </c>
      <c r="BY241" s="32" t="s">
        <v>692</v>
      </c>
      <c r="BZ241" s="32">
        <v>1200102</v>
      </c>
      <c r="CA241" s="32">
        <v>2577</v>
      </c>
      <c r="CB241" s="273"/>
      <c r="CC241" s="274"/>
      <c r="CD241" s="257"/>
      <c r="CE241" s="273"/>
      <c r="DQ241" s="33"/>
      <c r="DR241" s="32"/>
      <c r="DS241" s="32"/>
      <c r="DT241" s="32"/>
      <c r="DU241" s="19"/>
      <c r="EI241" s="46"/>
      <c r="EJ241" s="32"/>
      <c r="EK241" s="34"/>
      <c r="EL241" s="32"/>
    </row>
    <row r="242" spans="74:142" x14ac:dyDescent="0.25">
      <c r="BV242" s="255" t="str">
        <f t="shared" si="141"/>
        <v>D.LM.16_24B.1200102</v>
      </c>
      <c r="BW242" s="32" t="s">
        <v>502</v>
      </c>
      <c r="BX242" s="32" t="s">
        <v>398</v>
      </c>
      <c r="BY242" s="32" t="s">
        <v>697</v>
      </c>
      <c r="BZ242" s="32">
        <v>1200102</v>
      </c>
      <c r="CA242" s="32">
        <v>2719</v>
      </c>
      <c r="CB242" s="273"/>
      <c r="CC242" s="274"/>
      <c r="CD242" s="257"/>
      <c r="CE242" s="273"/>
      <c r="DQ242" s="33"/>
      <c r="DR242" s="32"/>
      <c r="DS242" s="32"/>
      <c r="DT242" s="32"/>
      <c r="DU242" s="19"/>
      <c r="EI242" s="46"/>
      <c r="EJ242" s="32"/>
      <c r="EK242" s="34"/>
      <c r="EL242" s="32"/>
    </row>
    <row r="243" spans="74:142" x14ac:dyDescent="0.25">
      <c r="BV243" s="255" t="str">
        <f t="shared" si="141"/>
        <v>D.LM.16_26B.1200102</v>
      </c>
      <c r="BW243" s="32" t="s">
        <v>502</v>
      </c>
      <c r="BX243" s="32" t="s">
        <v>398</v>
      </c>
      <c r="BY243" s="32" t="s">
        <v>702</v>
      </c>
      <c r="BZ243" s="32">
        <v>1200102</v>
      </c>
      <c r="CA243" s="32">
        <v>2740</v>
      </c>
      <c r="CB243" s="273"/>
      <c r="CC243" s="274"/>
      <c r="CD243" s="257"/>
      <c r="CE243" s="273"/>
      <c r="DQ243" s="33"/>
      <c r="DR243" s="32"/>
      <c r="DS243" s="32"/>
      <c r="DT243" s="34"/>
      <c r="DU243" s="19"/>
      <c r="EI243" s="46"/>
      <c r="EJ243" s="32"/>
      <c r="EK243" s="34"/>
      <c r="EL243" s="32"/>
    </row>
    <row r="244" spans="74:142" x14ac:dyDescent="0.25">
      <c r="BV244" s="255" t="str">
        <f t="shared" si="141"/>
        <v>D.LM.18_20B.1200102</v>
      </c>
      <c r="BW244" s="32" t="s">
        <v>502</v>
      </c>
      <c r="BX244" s="32" t="s">
        <v>398</v>
      </c>
      <c r="BY244" s="32" t="s">
        <v>689</v>
      </c>
      <c r="BZ244" s="32">
        <v>1200102</v>
      </c>
      <c r="CA244" s="32">
        <v>2567</v>
      </c>
      <c r="CB244" s="273"/>
      <c r="CC244" s="274"/>
      <c r="CD244" s="257"/>
      <c r="CE244" s="273"/>
      <c r="DQ244" s="33"/>
      <c r="DR244" s="32"/>
      <c r="DS244" s="32"/>
      <c r="DT244" s="34"/>
      <c r="DU244" s="19"/>
      <c r="EI244" s="46"/>
      <c r="EJ244" s="32"/>
      <c r="EK244" s="34"/>
      <c r="EL244" s="32"/>
    </row>
    <row r="245" spans="74:142" x14ac:dyDescent="0.25">
      <c r="BV245" s="255" t="str">
        <f t="shared" si="141"/>
        <v>D.LM.18_22B.1200102</v>
      </c>
      <c r="BW245" s="32" t="s">
        <v>502</v>
      </c>
      <c r="BX245" s="32" t="s">
        <v>398</v>
      </c>
      <c r="BY245" s="32" t="s">
        <v>693</v>
      </c>
      <c r="BZ245" s="32">
        <v>1200102</v>
      </c>
      <c r="CA245" s="32">
        <v>2577</v>
      </c>
      <c r="CB245" s="273"/>
      <c r="CC245" s="274"/>
      <c r="CD245" s="257"/>
      <c r="CE245" s="273"/>
      <c r="DQ245" s="36"/>
      <c r="DR245" s="32"/>
      <c r="DS245" s="32"/>
      <c r="DT245" s="32"/>
      <c r="DU245" s="19"/>
      <c r="EI245" s="46"/>
      <c r="EJ245" s="32"/>
      <c r="EK245" s="34"/>
      <c r="EL245" s="32"/>
    </row>
    <row r="246" spans="74:142" x14ac:dyDescent="0.25">
      <c r="BV246" s="255" t="str">
        <f t="shared" si="141"/>
        <v>D.LM.18_24B.1200102</v>
      </c>
      <c r="BW246" s="32" t="s">
        <v>502</v>
      </c>
      <c r="BX246" s="32" t="s">
        <v>398</v>
      </c>
      <c r="BY246" s="32" t="s">
        <v>698</v>
      </c>
      <c r="BZ246" s="32">
        <v>1200102</v>
      </c>
      <c r="CA246" s="32">
        <v>2719</v>
      </c>
      <c r="CB246" s="273"/>
      <c r="CC246" s="274"/>
      <c r="CD246" s="257"/>
      <c r="CE246" s="273"/>
      <c r="DQ246" s="33"/>
      <c r="DR246" s="32"/>
      <c r="DS246" s="32"/>
      <c r="DT246" s="32"/>
      <c r="DU246" s="19"/>
      <c r="EI246" s="46"/>
      <c r="EJ246" s="32"/>
      <c r="EK246" s="34"/>
      <c r="EL246" s="32"/>
    </row>
    <row r="247" spans="74:142" x14ac:dyDescent="0.25">
      <c r="BV247" s="255" t="str">
        <f t="shared" si="141"/>
        <v>D.LM.20_20B.1200102</v>
      </c>
      <c r="BW247" s="32" t="s">
        <v>502</v>
      </c>
      <c r="BX247" s="32" t="s">
        <v>398</v>
      </c>
      <c r="BY247" s="32" t="s">
        <v>738</v>
      </c>
      <c r="BZ247" s="32">
        <v>1200102</v>
      </c>
      <c r="CA247" s="32">
        <v>2567</v>
      </c>
      <c r="CB247" s="273"/>
      <c r="CC247" s="274"/>
      <c r="CD247" s="257"/>
      <c r="CE247" s="273"/>
      <c r="DQ247" s="33"/>
      <c r="DR247" s="32"/>
      <c r="DS247" s="32"/>
      <c r="DT247" s="32"/>
      <c r="DU247" s="19"/>
      <c r="EI247" s="46"/>
      <c r="EJ247" s="32"/>
      <c r="EK247" s="34"/>
      <c r="EL247" s="32"/>
    </row>
    <row r="248" spans="74:142" x14ac:dyDescent="0.25">
      <c r="BV248" s="255" t="str">
        <f t="shared" si="141"/>
        <v>D.LM.20_22B.1200102</v>
      </c>
      <c r="BW248" s="32" t="s">
        <v>502</v>
      </c>
      <c r="BX248" s="32" t="s">
        <v>398</v>
      </c>
      <c r="BY248" s="32" t="s">
        <v>694</v>
      </c>
      <c r="BZ248" s="32">
        <v>1200102</v>
      </c>
      <c r="CA248" s="32">
        <v>2577</v>
      </c>
      <c r="CB248" s="273"/>
      <c r="CC248" s="274"/>
      <c r="CD248" s="257"/>
      <c r="CE248" s="273"/>
      <c r="DQ248" s="36"/>
      <c r="DR248" s="32"/>
      <c r="DS248" s="32"/>
      <c r="DT248" s="32"/>
      <c r="DU248" s="19"/>
      <c r="EI248" s="46"/>
      <c r="EJ248" s="32"/>
      <c r="EK248" s="34"/>
      <c r="EL248" s="32"/>
    </row>
    <row r="249" spans="74:142" x14ac:dyDescent="0.25">
      <c r="BV249" s="255" t="str">
        <f t="shared" si="141"/>
        <v>D.LM.20_24B.1200102</v>
      </c>
      <c r="BW249" s="32" t="s">
        <v>502</v>
      </c>
      <c r="BX249" s="32" t="s">
        <v>398</v>
      </c>
      <c r="BY249" s="32" t="s">
        <v>699</v>
      </c>
      <c r="BZ249" s="32">
        <v>1200102</v>
      </c>
      <c r="CA249" s="32">
        <v>2719</v>
      </c>
      <c r="CB249" s="273"/>
      <c r="CC249" s="274"/>
      <c r="CD249" s="257"/>
      <c r="CE249" s="273"/>
      <c r="DQ249" s="36"/>
      <c r="DR249" s="32"/>
      <c r="DS249" s="32"/>
      <c r="DT249" s="32"/>
      <c r="DU249" s="19"/>
      <c r="EI249" s="46"/>
      <c r="EJ249" s="32"/>
      <c r="EK249" s="34"/>
      <c r="EL249" s="32"/>
    </row>
    <row r="250" spans="74:142" x14ac:dyDescent="0.25">
      <c r="BV250" s="255" t="str">
        <f t="shared" si="141"/>
        <v>D.LM.12_14F.1200102</v>
      </c>
      <c r="BW250" s="32" t="s">
        <v>502</v>
      </c>
      <c r="BX250" s="32" t="s">
        <v>398</v>
      </c>
      <c r="BY250" s="32" t="s">
        <v>703</v>
      </c>
      <c r="BZ250" s="32">
        <v>1200102</v>
      </c>
      <c r="CA250" s="32">
        <v>1590</v>
      </c>
      <c r="CB250" s="273"/>
      <c r="CC250" s="274"/>
      <c r="CD250" s="257"/>
      <c r="CE250" s="273"/>
      <c r="DQ250" s="33"/>
      <c r="DR250" s="32"/>
      <c r="DS250" s="32"/>
      <c r="DT250" s="32"/>
      <c r="DU250" s="19"/>
      <c r="EI250" s="46"/>
      <c r="EJ250" s="32"/>
      <c r="EK250" s="34"/>
      <c r="EL250" s="32"/>
    </row>
    <row r="251" spans="74:142" x14ac:dyDescent="0.25">
      <c r="BV251" s="255" t="str">
        <f t="shared" si="141"/>
        <v>D.LM.13_14F.1200102</v>
      </c>
      <c r="BW251" s="32" t="s">
        <v>502</v>
      </c>
      <c r="BX251" s="32" t="s">
        <v>398</v>
      </c>
      <c r="BY251" s="32" t="s">
        <v>704</v>
      </c>
      <c r="BZ251" s="32">
        <v>1200102</v>
      </c>
      <c r="CA251" s="32">
        <v>1590</v>
      </c>
      <c r="CB251" s="273"/>
      <c r="CC251" s="274"/>
      <c r="CD251" s="257"/>
      <c r="CE251" s="273"/>
      <c r="DQ251" s="33"/>
      <c r="DR251" s="32"/>
      <c r="DS251" s="32"/>
      <c r="DT251" s="32"/>
      <c r="DU251" s="19"/>
      <c r="EI251" s="46"/>
      <c r="EJ251" s="32"/>
      <c r="EK251" s="34"/>
      <c r="EL251" s="32"/>
    </row>
    <row r="252" spans="74:142" x14ac:dyDescent="0.25">
      <c r="BV252" s="255" t="str">
        <f t="shared" si="141"/>
        <v>D.LM.13_15F.1200102</v>
      </c>
      <c r="BW252" s="32" t="s">
        <v>502</v>
      </c>
      <c r="BX252" s="32" t="s">
        <v>398</v>
      </c>
      <c r="BY252" s="32" t="s">
        <v>706</v>
      </c>
      <c r="BZ252" s="32">
        <v>1200102</v>
      </c>
      <c r="CA252" s="32">
        <v>1652</v>
      </c>
      <c r="CB252" s="273"/>
      <c r="CC252" s="274"/>
      <c r="CD252" s="257"/>
      <c r="CE252" s="273"/>
      <c r="DQ252" s="33"/>
      <c r="DR252" s="32"/>
      <c r="DS252" s="32"/>
      <c r="DT252" s="32"/>
      <c r="DU252" s="19"/>
      <c r="EI252" s="46"/>
      <c r="EJ252" s="32"/>
      <c r="EK252" s="34"/>
      <c r="EL252" s="32"/>
    </row>
    <row r="253" spans="74:142" x14ac:dyDescent="0.25">
      <c r="BV253" s="255" t="str">
        <f t="shared" si="141"/>
        <v>D.LM.13_16F.1200102</v>
      </c>
      <c r="BW253" s="32" t="s">
        <v>502</v>
      </c>
      <c r="BX253" s="32" t="s">
        <v>398</v>
      </c>
      <c r="BY253" s="32" t="s">
        <v>708</v>
      </c>
      <c r="BZ253" s="32">
        <v>1200102</v>
      </c>
      <c r="CA253" s="32">
        <v>1681</v>
      </c>
      <c r="CB253" s="273"/>
      <c r="CC253" s="274"/>
      <c r="CD253" s="257"/>
      <c r="CE253" s="273"/>
      <c r="DQ253" s="33"/>
      <c r="DR253" s="32"/>
      <c r="DS253" s="32"/>
      <c r="DT253" s="32"/>
      <c r="DU253" s="19"/>
      <c r="EI253" s="46"/>
      <c r="EJ253" s="32"/>
      <c r="EK253" s="34"/>
      <c r="EL253" s="32"/>
    </row>
    <row r="254" spans="74:142" x14ac:dyDescent="0.25">
      <c r="BV254" s="255" t="str">
        <f t="shared" si="141"/>
        <v>D.LM.14_14F.1200102</v>
      </c>
      <c r="BW254" s="32" t="s">
        <v>502</v>
      </c>
      <c r="BX254" s="32" t="s">
        <v>398</v>
      </c>
      <c r="BY254" s="32" t="s">
        <v>705</v>
      </c>
      <c r="BZ254" s="32">
        <v>1200102</v>
      </c>
      <c r="CA254" s="32">
        <v>1590</v>
      </c>
      <c r="CB254" s="273"/>
      <c r="CC254" s="274"/>
      <c r="CD254" s="257"/>
      <c r="CE254" s="273"/>
      <c r="DQ254" s="33"/>
      <c r="DR254" s="32"/>
      <c r="DS254" s="32"/>
      <c r="DT254" s="32"/>
      <c r="DU254" s="19"/>
      <c r="EI254" s="46"/>
      <c r="EJ254" s="32"/>
      <c r="EK254" s="34"/>
      <c r="EL254" s="32"/>
    </row>
    <row r="255" spans="74:142" x14ac:dyDescent="0.25">
      <c r="BV255" s="255" t="str">
        <f t="shared" si="141"/>
        <v>D.LM.14_15F.1200102</v>
      </c>
      <c r="BW255" s="32" t="s">
        <v>502</v>
      </c>
      <c r="BX255" s="32" t="s">
        <v>398</v>
      </c>
      <c r="BY255" s="32" t="s">
        <v>707</v>
      </c>
      <c r="BZ255" s="32">
        <v>1200102</v>
      </c>
      <c r="CA255" s="32">
        <v>1652</v>
      </c>
      <c r="CB255" s="273"/>
      <c r="CC255" s="274"/>
      <c r="CD255" s="257"/>
      <c r="CE255" s="273"/>
      <c r="DQ255" s="33"/>
      <c r="DR255" s="32"/>
      <c r="DS255" s="32"/>
      <c r="DT255" s="32"/>
      <c r="DU255" s="19"/>
      <c r="EI255" s="46"/>
      <c r="EJ255" s="32"/>
      <c r="EK255" s="34"/>
      <c r="EL255" s="32"/>
    </row>
    <row r="256" spans="74:142" x14ac:dyDescent="0.25">
      <c r="BV256" s="255" t="str">
        <f t="shared" si="141"/>
        <v>D.LM.14_16F.1200102</v>
      </c>
      <c r="BW256" s="32" t="s">
        <v>502</v>
      </c>
      <c r="BX256" s="32" t="s">
        <v>398</v>
      </c>
      <c r="BY256" s="32" t="s">
        <v>709</v>
      </c>
      <c r="BZ256" s="32">
        <v>1200102</v>
      </c>
      <c r="CA256" s="32">
        <v>1681</v>
      </c>
      <c r="CB256" s="273"/>
      <c r="CC256" s="274"/>
      <c r="CD256" s="257"/>
      <c r="CE256" s="273"/>
      <c r="DQ256" s="33"/>
      <c r="DR256" s="32"/>
      <c r="DS256" s="32"/>
      <c r="DT256" s="32"/>
      <c r="DU256" s="19"/>
      <c r="EI256" s="46"/>
      <c r="EJ256" s="32"/>
      <c r="EK256" s="34"/>
      <c r="EL256" s="32"/>
    </row>
    <row r="257" spans="74:142" x14ac:dyDescent="0.25">
      <c r="BV257" s="255" t="str">
        <f t="shared" si="141"/>
        <v>D.LM.15_16F.1200102</v>
      </c>
      <c r="BW257" s="32" t="s">
        <v>502</v>
      </c>
      <c r="BX257" s="32" t="s">
        <v>398</v>
      </c>
      <c r="BY257" s="32" t="s">
        <v>710</v>
      </c>
      <c r="BZ257" s="32">
        <v>1200102</v>
      </c>
      <c r="CA257" s="32">
        <v>1681</v>
      </c>
      <c r="CB257" s="273"/>
      <c r="CC257" s="274"/>
      <c r="CD257" s="257"/>
      <c r="CE257" s="273"/>
      <c r="DQ257" s="33"/>
      <c r="DR257" s="32"/>
      <c r="DS257" s="32"/>
      <c r="DT257" s="32"/>
      <c r="DU257" s="19"/>
      <c r="EI257" s="46"/>
      <c r="EJ257" s="32"/>
      <c r="EK257" s="34"/>
      <c r="EL257" s="32"/>
    </row>
    <row r="258" spans="74:142" x14ac:dyDescent="0.25">
      <c r="BV258" s="255" t="str">
        <f t="shared" si="141"/>
        <v>D.LM.16_16F.1200102</v>
      </c>
      <c r="BW258" s="32" t="s">
        <v>502</v>
      </c>
      <c r="BX258" s="32" t="s">
        <v>398</v>
      </c>
      <c r="BY258" s="32" t="s">
        <v>711</v>
      </c>
      <c r="BZ258" s="32">
        <v>1200102</v>
      </c>
      <c r="CA258" s="32">
        <v>1681</v>
      </c>
      <c r="CB258" s="273"/>
      <c r="CC258" s="274"/>
      <c r="CD258" s="257"/>
      <c r="CE258" s="273"/>
      <c r="DQ258" s="33"/>
      <c r="DR258" s="32"/>
      <c r="DS258" s="32"/>
      <c r="DT258" s="32"/>
      <c r="DU258" s="19"/>
      <c r="EI258" s="46"/>
      <c r="EJ258" s="32"/>
      <c r="EK258" s="34"/>
      <c r="EL258" s="32"/>
    </row>
    <row r="259" spans="74:142" x14ac:dyDescent="0.25">
      <c r="BV259" s="255" t="str">
        <f t="shared" si="141"/>
        <v>D.LM.16_18F.1200102</v>
      </c>
      <c r="BW259" s="32" t="s">
        <v>502</v>
      </c>
      <c r="BX259" s="32" t="s">
        <v>398</v>
      </c>
      <c r="BY259" s="32" t="s">
        <v>712</v>
      </c>
      <c r="BZ259" s="32">
        <v>1200102</v>
      </c>
      <c r="CA259" s="32">
        <v>1817</v>
      </c>
      <c r="CB259" s="273"/>
      <c r="CC259" s="274"/>
      <c r="CD259" s="257"/>
      <c r="CE259" s="273"/>
      <c r="DQ259" s="33"/>
      <c r="DR259" s="32"/>
      <c r="DS259" s="32"/>
      <c r="DT259" s="32"/>
      <c r="DU259" s="19"/>
      <c r="EI259" s="46"/>
      <c r="EJ259" s="32"/>
      <c r="EK259" s="34"/>
      <c r="EL259" s="32"/>
    </row>
    <row r="260" spans="74:142" x14ac:dyDescent="0.25">
      <c r="BV260" s="255" t="str">
        <f t="shared" si="141"/>
        <v>D.LM.10_14S.1200102</v>
      </c>
      <c r="BW260" s="32" t="s">
        <v>502</v>
      </c>
      <c r="BX260" s="32" t="s">
        <v>398</v>
      </c>
      <c r="BY260" s="32" t="s">
        <v>733</v>
      </c>
      <c r="BZ260" s="32">
        <v>1200102</v>
      </c>
      <c r="CA260" s="32">
        <v>1180</v>
      </c>
      <c r="CB260" s="273"/>
      <c r="CC260" s="274"/>
      <c r="CD260" s="257"/>
      <c r="CE260" s="273"/>
      <c r="DQ260" s="33"/>
      <c r="DR260" s="32"/>
      <c r="DS260" s="32"/>
      <c r="DT260" s="32"/>
      <c r="DU260" s="19"/>
      <c r="EI260" s="46"/>
      <c r="EJ260" s="32"/>
      <c r="EK260" s="34"/>
      <c r="EL260" s="32"/>
    </row>
    <row r="261" spans="74:142" x14ac:dyDescent="0.25">
      <c r="BV261" s="255" t="str">
        <f t="shared" si="141"/>
        <v>D.LM.4_14S.1200102</v>
      </c>
      <c r="BW261" s="32" t="s">
        <v>502</v>
      </c>
      <c r="BX261" s="32" t="s">
        <v>398</v>
      </c>
      <c r="BY261" s="32" t="s">
        <v>739</v>
      </c>
      <c r="BZ261" s="32">
        <v>1200102</v>
      </c>
      <c r="CA261" s="32">
        <v>1022</v>
      </c>
      <c r="CB261" s="273"/>
      <c r="CC261" s="274"/>
      <c r="CD261" s="257"/>
      <c r="CE261" s="273"/>
      <c r="DQ261" s="33"/>
      <c r="DR261" s="32"/>
      <c r="DS261" s="32"/>
      <c r="DT261" s="32"/>
      <c r="DU261" s="19"/>
      <c r="EI261" s="46"/>
      <c r="EJ261" s="32"/>
      <c r="EK261" s="34"/>
      <c r="EL261" s="32"/>
    </row>
    <row r="262" spans="74:142" x14ac:dyDescent="0.25">
      <c r="BV262" s="255" t="str">
        <f t="shared" si="141"/>
        <v>D.LM.4_14x8S.1200102</v>
      </c>
      <c r="BW262" s="32" t="s">
        <v>502</v>
      </c>
      <c r="BX262" s="32" t="s">
        <v>398</v>
      </c>
      <c r="BY262" s="32" t="s">
        <v>740</v>
      </c>
      <c r="BZ262" s="32">
        <v>1200102</v>
      </c>
      <c r="CA262" s="32">
        <v>1022</v>
      </c>
      <c r="CB262" s="273"/>
      <c r="CC262" s="274"/>
      <c r="CD262" s="257"/>
      <c r="CE262" s="273"/>
      <c r="DQ262" s="33"/>
      <c r="DR262" s="32"/>
      <c r="DS262" s="32"/>
      <c r="DT262" s="32"/>
      <c r="DU262" s="19"/>
      <c r="EI262" s="46"/>
      <c r="EJ262" s="32"/>
      <c r="EK262" s="34"/>
      <c r="EL262" s="32"/>
    </row>
    <row r="263" spans="74:142" x14ac:dyDescent="0.25">
      <c r="BV263" s="255" t="str">
        <f t="shared" si="141"/>
        <v>D.LM.5_14S.1200102</v>
      </c>
      <c r="BW263" s="32" t="s">
        <v>502</v>
      </c>
      <c r="BX263" s="32" t="s">
        <v>398</v>
      </c>
      <c r="BY263" s="32" t="s">
        <v>677</v>
      </c>
      <c r="BZ263" s="32">
        <v>1200102</v>
      </c>
      <c r="CA263" s="32">
        <v>1022</v>
      </c>
      <c r="CB263" s="273"/>
      <c r="CC263" s="274"/>
      <c r="CD263" s="257"/>
      <c r="CE263" s="273"/>
      <c r="DQ263" s="33"/>
      <c r="DR263" s="32"/>
      <c r="DS263" s="32"/>
      <c r="DT263" s="32"/>
      <c r="DU263" s="19"/>
      <c r="EI263" s="46"/>
      <c r="EJ263" s="32"/>
      <c r="EK263" s="34"/>
      <c r="EL263" s="32"/>
    </row>
    <row r="264" spans="74:142" x14ac:dyDescent="0.25">
      <c r="BV264" s="255" t="str">
        <f t="shared" si="141"/>
        <v>D.LM.5_14x8S.1200102</v>
      </c>
      <c r="BW264" s="32" t="s">
        <v>502</v>
      </c>
      <c r="BX264" s="32" t="s">
        <v>398</v>
      </c>
      <c r="BY264" s="32" t="s">
        <v>681</v>
      </c>
      <c r="BZ264" s="32">
        <v>1200102</v>
      </c>
      <c r="CA264" s="32">
        <v>1022</v>
      </c>
      <c r="CB264" s="273"/>
      <c r="CC264" s="274"/>
      <c r="CD264" s="257"/>
      <c r="CE264" s="273"/>
      <c r="DQ264" s="33"/>
      <c r="DR264" s="32"/>
      <c r="DS264" s="32"/>
      <c r="DT264" s="32"/>
      <c r="DU264" s="19"/>
      <c r="EI264" s="46"/>
      <c r="EJ264" s="32"/>
      <c r="EK264" s="34"/>
      <c r="EL264" s="32"/>
    </row>
    <row r="265" spans="74:142" x14ac:dyDescent="0.25">
      <c r="BV265" s="255" t="str">
        <f t="shared" si="141"/>
        <v>D.LM.5H_14S.1200102</v>
      </c>
      <c r="BW265" s="32" t="s">
        <v>502</v>
      </c>
      <c r="BX265" s="32" t="s">
        <v>398</v>
      </c>
      <c r="BY265" s="32" t="s">
        <v>1208</v>
      </c>
      <c r="BZ265" s="32">
        <v>1200102</v>
      </c>
      <c r="CA265" s="32">
        <v>1048</v>
      </c>
      <c r="CB265" s="273"/>
      <c r="CC265" s="274"/>
      <c r="CD265" s="257"/>
      <c r="CE265" s="273"/>
      <c r="DQ265" s="33"/>
      <c r="DR265" s="32"/>
      <c r="DS265" s="32"/>
      <c r="DT265" s="32"/>
      <c r="DU265" s="19"/>
      <c r="EI265" s="46"/>
      <c r="EJ265" s="32"/>
      <c r="EK265" s="34"/>
      <c r="EL265" s="32"/>
    </row>
    <row r="266" spans="74:142" x14ac:dyDescent="0.25">
      <c r="BV266" s="255" t="str">
        <f t="shared" si="141"/>
        <v>D.LM.5H_14x8S.1200102</v>
      </c>
      <c r="BW266" s="32" t="s">
        <v>502</v>
      </c>
      <c r="BX266" s="32" t="s">
        <v>398</v>
      </c>
      <c r="BY266" s="32" t="s">
        <v>1209</v>
      </c>
      <c r="BZ266" s="32">
        <v>1200102</v>
      </c>
      <c r="CA266" s="32">
        <v>1048</v>
      </c>
      <c r="CB266" s="273"/>
      <c r="CC266" s="274"/>
      <c r="CD266" s="257"/>
      <c r="CE266" s="273"/>
      <c r="DQ266" s="33"/>
      <c r="DR266" s="32"/>
      <c r="DS266" s="32"/>
      <c r="DT266" s="32"/>
      <c r="DU266" s="19"/>
      <c r="EI266" s="46"/>
      <c r="EJ266" s="32"/>
      <c r="EK266" s="34"/>
      <c r="EL266" s="32"/>
    </row>
    <row r="267" spans="74:142" x14ac:dyDescent="0.25">
      <c r="BV267" s="255" t="str">
        <f t="shared" si="141"/>
        <v>D.LM.6_12S.1200102</v>
      </c>
      <c r="BW267" s="32" t="s">
        <v>502</v>
      </c>
      <c r="BX267" s="32" t="s">
        <v>398</v>
      </c>
      <c r="BY267" s="32" t="s">
        <v>675</v>
      </c>
      <c r="BZ267" s="32">
        <v>1200102</v>
      </c>
      <c r="CA267" s="32">
        <v>1033</v>
      </c>
      <c r="CB267" s="273"/>
      <c r="CC267" s="274"/>
      <c r="CD267" s="257"/>
      <c r="CE267" s="273"/>
      <c r="DQ267" s="33"/>
      <c r="DR267" s="32"/>
      <c r="DS267" s="32"/>
      <c r="DT267" s="33"/>
      <c r="DU267" s="19"/>
      <c r="EI267" s="46"/>
      <c r="EJ267" s="32"/>
      <c r="EK267" s="34"/>
      <c r="EL267" s="32"/>
    </row>
    <row r="268" spans="74:142" x14ac:dyDescent="0.25">
      <c r="BV268" s="255" t="str">
        <f t="shared" si="141"/>
        <v>D.LM.6_13S.1200102</v>
      </c>
      <c r="BW268" s="32" t="s">
        <v>502</v>
      </c>
      <c r="BX268" s="32" t="s">
        <v>398</v>
      </c>
      <c r="BY268" s="32" t="s">
        <v>676</v>
      </c>
      <c r="BZ268" s="32">
        <v>1200102</v>
      </c>
      <c r="CA268" s="32">
        <v>1061</v>
      </c>
      <c r="CB268" s="273"/>
      <c r="CC268" s="274"/>
      <c r="CD268" s="257"/>
      <c r="CE268" s="273"/>
      <c r="DQ268" s="33"/>
      <c r="DR268" s="32"/>
      <c r="DS268" s="32"/>
      <c r="DT268" s="32"/>
      <c r="DU268" s="19"/>
      <c r="EI268" s="46"/>
      <c r="EJ268" s="32"/>
      <c r="EK268" s="34"/>
      <c r="EL268" s="32"/>
    </row>
    <row r="269" spans="74:142" x14ac:dyDescent="0.25">
      <c r="BV269" s="255" t="str">
        <f t="shared" si="141"/>
        <v>D.LM.6H_14S.1200102</v>
      </c>
      <c r="BW269" s="32" t="s">
        <v>502</v>
      </c>
      <c r="BX269" s="32" t="s">
        <v>398</v>
      </c>
      <c r="BY269" s="32" t="s">
        <v>680</v>
      </c>
      <c r="BZ269" s="32">
        <v>1200102</v>
      </c>
      <c r="CA269" s="32">
        <v>1101</v>
      </c>
      <c r="CB269" s="273"/>
      <c r="CC269" s="274"/>
      <c r="CD269" s="257"/>
      <c r="CE269" s="273"/>
      <c r="DQ269" s="33"/>
      <c r="DR269" s="32"/>
      <c r="DS269" s="32"/>
      <c r="DT269" s="32"/>
      <c r="DU269" s="19"/>
      <c r="EI269" s="46"/>
      <c r="EJ269" s="32"/>
      <c r="EK269" s="34"/>
      <c r="EL269" s="32"/>
    </row>
    <row r="270" spans="74:142" x14ac:dyDescent="0.25">
      <c r="BV270" s="255" t="str">
        <f t="shared" si="141"/>
        <v>D.LM.6H_14x8S.1200102</v>
      </c>
      <c r="BW270" s="32" t="s">
        <v>502</v>
      </c>
      <c r="BX270" s="32" t="s">
        <v>398</v>
      </c>
      <c r="BY270" s="32" t="s">
        <v>682</v>
      </c>
      <c r="BZ270" s="32">
        <v>1200102</v>
      </c>
      <c r="CA270" s="32">
        <v>1101</v>
      </c>
      <c r="CB270" s="273"/>
      <c r="CC270" s="274"/>
      <c r="CD270" s="257"/>
      <c r="CE270" s="273"/>
      <c r="DQ270" s="33"/>
      <c r="DR270" s="32"/>
      <c r="DS270" s="32"/>
      <c r="DT270" s="32"/>
      <c r="DU270" s="19"/>
      <c r="EI270" s="46"/>
      <c r="EJ270" s="32"/>
      <c r="EK270" s="34"/>
      <c r="EL270" s="32"/>
    </row>
    <row r="271" spans="74:142" x14ac:dyDescent="0.25">
      <c r="BV271" s="255" t="str">
        <f t="shared" si="141"/>
        <v>D.LM.8_14S.1200102</v>
      </c>
      <c r="BW271" s="32" t="s">
        <v>502</v>
      </c>
      <c r="BX271" s="32" t="s">
        <v>398</v>
      </c>
      <c r="BY271" s="32" t="s">
        <v>678</v>
      </c>
      <c r="BZ271" s="32">
        <v>1200102</v>
      </c>
      <c r="CA271" s="32">
        <v>1152</v>
      </c>
      <c r="CB271" s="273"/>
      <c r="CC271" s="274"/>
      <c r="CD271" s="257"/>
      <c r="CE271" s="273"/>
      <c r="DQ271" s="33"/>
      <c r="DR271" s="32"/>
      <c r="DS271" s="32"/>
      <c r="DT271" s="32"/>
      <c r="DU271" s="19"/>
      <c r="EI271" s="46"/>
      <c r="EJ271" s="32"/>
      <c r="EK271" s="34"/>
      <c r="EL271" s="32"/>
    </row>
    <row r="272" spans="74:142" x14ac:dyDescent="0.25">
      <c r="BV272" s="255" t="str">
        <f t="shared" si="141"/>
        <v>D.LM.10_12T.1200102</v>
      </c>
      <c r="BW272" s="32" t="s">
        <v>502</v>
      </c>
      <c r="BX272" s="32" t="s">
        <v>398</v>
      </c>
      <c r="BY272" s="32" t="s">
        <v>713</v>
      </c>
      <c r="BZ272" s="32">
        <v>1200102</v>
      </c>
      <c r="CA272" s="32">
        <v>1330</v>
      </c>
      <c r="CB272" s="273"/>
      <c r="CC272" s="274"/>
      <c r="CD272" s="257"/>
      <c r="CE272" s="273"/>
      <c r="DQ272" s="33"/>
      <c r="DR272" s="32"/>
      <c r="DS272" s="32"/>
      <c r="DT272" s="32"/>
      <c r="DU272" s="19"/>
      <c r="EI272" s="46"/>
      <c r="EJ272" s="32"/>
      <c r="EK272" s="34"/>
      <c r="EL272" s="32"/>
    </row>
    <row r="273" spans="74:142" x14ac:dyDescent="0.25">
      <c r="BV273" s="255" t="str">
        <f t="shared" si="141"/>
        <v>D.LM.10_13T.1200102</v>
      </c>
      <c r="BW273" s="32" t="s">
        <v>502</v>
      </c>
      <c r="BX273" s="32" t="s">
        <v>398</v>
      </c>
      <c r="BY273" s="32" t="s">
        <v>715</v>
      </c>
      <c r="BZ273" s="32">
        <v>1200102</v>
      </c>
      <c r="CA273" s="32">
        <v>1341</v>
      </c>
      <c r="CB273" s="273"/>
      <c r="CC273" s="274"/>
      <c r="CD273" s="257"/>
      <c r="CE273" s="273"/>
      <c r="DQ273" s="33"/>
      <c r="DR273" s="32"/>
      <c r="DS273" s="32"/>
      <c r="DT273" s="32"/>
      <c r="DU273" s="19"/>
      <c r="EI273" s="46"/>
      <c r="EJ273" s="32"/>
      <c r="EK273" s="34"/>
      <c r="EL273" s="32"/>
    </row>
    <row r="274" spans="74:142" x14ac:dyDescent="0.25">
      <c r="BV274" s="255" t="str">
        <f t="shared" si="141"/>
        <v>D.LM.10_14T.1200102</v>
      </c>
      <c r="BW274" s="32" t="s">
        <v>502</v>
      </c>
      <c r="BX274" s="32" t="s">
        <v>398</v>
      </c>
      <c r="BY274" s="32" t="s">
        <v>718</v>
      </c>
      <c r="BZ274" s="32">
        <v>1200102</v>
      </c>
      <c r="CA274" s="32">
        <v>1467</v>
      </c>
      <c r="CB274" s="273"/>
      <c r="CC274" s="274"/>
      <c r="CD274" s="257"/>
      <c r="CE274" s="273"/>
      <c r="DQ274" s="33"/>
      <c r="DR274" s="32"/>
      <c r="DS274" s="32"/>
      <c r="DT274" s="32"/>
      <c r="DU274" s="19"/>
      <c r="EI274" s="46"/>
      <c r="EJ274" s="32"/>
      <c r="EK274" s="34"/>
      <c r="EL274" s="32"/>
    </row>
    <row r="275" spans="74:142" x14ac:dyDescent="0.25">
      <c r="BV275" s="255" t="str">
        <f t="shared" si="141"/>
        <v>D.LM.11_12T.1200102</v>
      </c>
      <c r="BW275" s="32" t="s">
        <v>502</v>
      </c>
      <c r="BX275" s="32" t="s">
        <v>398</v>
      </c>
      <c r="BY275" s="32" t="s">
        <v>714</v>
      </c>
      <c r="BZ275" s="32">
        <v>1200102</v>
      </c>
      <c r="CA275" s="32">
        <v>1330</v>
      </c>
      <c r="CB275" s="273"/>
      <c r="CC275" s="274"/>
      <c r="CD275" s="257"/>
      <c r="CE275" s="273"/>
      <c r="DQ275" s="33"/>
      <c r="DR275" s="32"/>
      <c r="DS275" s="32"/>
      <c r="DT275" s="34"/>
      <c r="DU275" s="19"/>
      <c r="EI275" s="46"/>
      <c r="EJ275" s="32"/>
      <c r="EK275" s="34"/>
      <c r="EL275" s="32"/>
    </row>
    <row r="276" spans="74:142" x14ac:dyDescent="0.25">
      <c r="BV276" s="255" t="str">
        <f t="shared" si="141"/>
        <v>D.LM.11_13T.1200102</v>
      </c>
      <c r="BW276" s="32" t="s">
        <v>502</v>
      </c>
      <c r="BX276" s="32" t="s">
        <v>398</v>
      </c>
      <c r="BY276" s="32" t="s">
        <v>716</v>
      </c>
      <c r="BZ276" s="32">
        <v>1200102</v>
      </c>
      <c r="CA276" s="32">
        <v>1341</v>
      </c>
      <c r="CB276" s="273"/>
      <c r="CC276" s="274"/>
      <c r="CD276" s="257"/>
      <c r="CE276" s="273"/>
      <c r="DQ276" s="33"/>
      <c r="DR276" s="32"/>
      <c r="DS276" s="32"/>
      <c r="DT276" s="32"/>
      <c r="DU276" s="19"/>
      <c r="EI276" s="46"/>
      <c r="EJ276" s="32"/>
      <c r="EK276" s="34"/>
      <c r="EL276" s="32"/>
    </row>
    <row r="277" spans="74:142" x14ac:dyDescent="0.25">
      <c r="BV277" s="255" t="str">
        <f t="shared" si="141"/>
        <v>D.LM.11_14T.1200102</v>
      </c>
      <c r="BW277" s="32" t="s">
        <v>502</v>
      </c>
      <c r="BX277" s="32" t="s">
        <v>398</v>
      </c>
      <c r="BY277" s="32" t="s">
        <v>719</v>
      </c>
      <c r="BZ277" s="32">
        <v>1200102</v>
      </c>
      <c r="CA277" s="32">
        <v>1467</v>
      </c>
      <c r="CB277" s="273"/>
      <c r="CC277" s="274"/>
      <c r="CD277" s="257"/>
      <c r="CE277" s="273"/>
      <c r="DQ277" s="33"/>
      <c r="DR277" s="32"/>
      <c r="DS277" s="32"/>
      <c r="DT277" s="32"/>
      <c r="DU277" s="19"/>
      <c r="EI277" s="46"/>
      <c r="EJ277" s="32"/>
      <c r="EK277" s="34"/>
      <c r="EL277" s="32"/>
    </row>
    <row r="278" spans="74:142" x14ac:dyDescent="0.25">
      <c r="BV278" s="255" t="str">
        <f t="shared" ref="BV278:BV341" si="142">CONCATENATE(BW278,".",BX278,".",BY278,".",BZ278)</f>
        <v>D.LM.12_13T.1200102</v>
      </c>
      <c r="BW278" s="32" t="s">
        <v>502</v>
      </c>
      <c r="BX278" s="32" t="s">
        <v>398</v>
      </c>
      <c r="BY278" s="32" t="s">
        <v>717</v>
      </c>
      <c r="BZ278" s="32">
        <v>1200102</v>
      </c>
      <c r="CA278" s="32">
        <v>1341</v>
      </c>
      <c r="CB278" s="273"/>
      <c r="CC278" s="274"/>
      <c r="CD278" s="257"/>
      <c r="CE278" s="273"/>
      <c r="DQ278" s="33"/>
      <c r="DR278" s="32"/>
      <c r="DS278" s="32"/>
      <c r="DT278" s="34"/>
      <c r="DU278" s="19"/>
      <c r="EI278" s="46"/>
      <c r="EJ278" s="32"/>
      <c r="EK278" s="34"/>
      <c r="EL278" s="32"/>
    </row>
    <row r="279" spans="74:142" x14ac:dyDescent="0.25">
      <c r="BV279" s="255" t="str">
        <f t="shared" si="142"/>
        <v>D.LM.12_14T.1200102</v>
      </c>
      <c r="BW279" s="32" t="s">
        <v>502</v>
      </c>
      <c r="BX279" s="32" t="s">
        <v>398</v>
      </c>
      <c r="BY279" s="32" t="s">
        <v>720</v>
      </c>
      <c r="BZ279" s="32">
        <v>1200102</v>
      </c>
      <c r="CA279" s="32">
        <v>1467</v>
      </c>
      <c r="CB279" s="273"/>
      <c r="CC279" s="274"/>
      <c r="CD279" s="257"/>
      <c r="CE279" s="273"/>
      <c r="DQ279" s="33"/>
      <c r="DR279" s="32"/>
      <c r="DS279" s="32"/>
      <c r="DT279" s="32"/>
      <c r="DU279" s="19"/>
      <c r="EI279" s="46"/>
      <c r="EJ279" s="32"/>
      <c r="EK279" s="34"/>
      <c r="EL279" s="32"/>
    </row>
    <row r="280" spans="74:142" x14ac:dyDescent="0.25">
      <c r="BV280" s="255" t="str">
        <f t="shared" si="142"/>
        <v>D.LM.12_15T.1200102</v>
      </c>
      <c r="BW280" s="32" t="s">
        <v>502</v>
      </c>
      <c r="BX280" s="32" t="s">
        <v>398</v>
      </c>
      <c r="BY280" s="32" t="s">
        <v>723</v>
      </c>
      <c r="BZ280" s="32">
        <v>1200102</v>
      </c>
      <c r="CA280" s="32">
        <v>1530</v>
      </c>
      <c r="CB280" s="273"/>
      <c r="CC280" s="274"/>
      <c r="CD280" s="257"/>
      <c r="CE280" s="273"/>
      <c r="DQ280" s="36"/>
      <c r="DR280" s="32"/>
      <c r="DS280" s="32"/>
      <c r="DT280" s="32"/>
      <c r="DU280" s="19"/>
      <c r="EI280" s="46"/>
      <c r="EJ280" s="32"/>
      <c r="EK280" s="34"/>
      <c r="EL280" s="32"/>
    </row>
    <row r="281" spans="74:142" x14ac:dyDescent="0.25">
      <c r="BV281" s="255" t="str">
        <f t="shared" si="142"/>
        <v>D.LM.13_14T.1200102</v>
      </c>
      <c r="BW281" s="32" t="s">
        <v>502</v>
      </c>
      <c r="BX281" s="32" t="s">
        <v>398</v>
      </c>
      <c r="BY281" s="32" t="s">
        <v>721</v>
      </c>
      <c r="BZ281" s="32">
        <v>1200102</v>
      </c>
      <c r="CA281" s="32">
        <v>1467</v>
      </c>
      <c r="CB281" s="273"/>
      <c r="CC281" s="274"/>
      <c r="CD281" s="257"/>
      <c r="CE281" s="273"/>
      <c r="DQ281" s="33"/>
      <c r="DR281" s="32"/>
      <c r="DS281" s="32"/>
      <c r="DT281" s="32"/>
      <c r="DU281" s="19"/>
      <c r="EI281" s="46"/>
      <c r="EJ281" s="32"/>
      <c r="EK281" s="34"/>
      <c r="EL281" s="32"/>
    </row>
    <row r="282" spans="74:142" x14ac:dyDescent="0.25">
      <c r="BV282" s="255" t="str">
        <f t="shared" si="142"/>
        <v>D.LM.13_15T.1200102</v>
      </c>
      <c r="BW282" s="32" t="s">
        <v>502</v>
      </c>
      <c r="BX282" s="32" t="s">
        <v>398</v>
      </c>
      <c r="BY282" s="32" t="s">
        <v>724</v>
      </c>
      <c r="BZ282" s="32">
        <v>1200102</v>
      </c>
      <c r="CA282" s="32">
        <v>1530</v>
      </c>
      <c r="CB282" s="273"/>
      <c r="CC282" s="274"/>
      <c r="CD282" s="257"/>
      <c r="CE282" s="273"/>
      <c r="DQ282" s="33"/>
      <c r="DR282" s="32"/>
      <c r="DS282" s="32"/>
      <c r="DT282" s="34"/>
      <c r="DU282" s="19"/>
      <c r="EI282" s="46"/>
      <c r="EJ282" s="32"/>
      <c r="EK282" s="34"/>
      <c r="EL282" s="32"/>
    </row>
    <row r="283" spans="74:142" x14ac:dyDescent="0.25">
      <c r="BV283" s="255" t="str">
        <f t="shared" si="142"/>
        <v>D.LM.13_16T.1200102</v>
      </c>
      <c r="BW283" s="32" t="s">
        <v>502</v>
      </c>
      <c r="BX283" s="32" t="s">
        <v>398</v>
      </c>
      <c r="BY283" s="32" t="s">
        <v>726</v>
      </c>
      <c r="BZ283" s="32">
        <v>1200102</v>
      </c>
      <c r="CA283" s="32">
        <v>1609</v>
      </c>
      <c r="CB283" s="273"/>
      <c r="CC283" s="274"/>
      <c r="CD283" s="257"/>
      <c r="CE283" s="273"/>
      <c r="DQ283" s="36"/>
      <c r="DR283" s="32"/>
      <c r="DS283" s="32"/>
      <c r="DT283" s="34"/>
      <c r="DU283" s="19"/>
      <c r="EI283" s="46"/>
      <c r="EJ283" s="32"/>
      <c r="EK283" s="34"/>
      <c r="EL283" s="32"/>
    </row>
    <row r="284" spans="74:142" x14ac:dyDescent="0.25">
      <c r="BV284" s="255" t="str">
        <f t="shared" si="142"/>
        <v>D.LM.14_14T.1200102</v>
      </c>
      <c r="BW284" s="32" t="s">
        <v>502</v>
      </c>
      <c r="BX284" s="32" t="s">
        <v>398</v>
      </c>
      <c r="BY284" s="32" t="s">
        <v>722</v>
      </c>
      <c r="BZ284" s="32">
        <v>1200102</v>
      </c>
      <c r="CA284" s="32">
        <v>1467</v>
      </c>
      <c r="CB284" s="273"/>
      <c r="CC284" s="274"/>
      <c r="CD284" s="257"/>
      <c r="CE284" s="273"/>
      <c r="DQ284" s="33"/>
      <c r="DR284" s="32"/>
      <c r="DS284" s="32"/>
      <c r="DT284" s="32"/>
      <c r="DU284" s="19"/>
      <c r="EI284" s="46"/>
      <c r="EJ284" s="32"/>
      <c r="EK284" s="34"/>
      <c r="EL284" s="32"/>
    </row>
    <row r="285" spans="74:142" x14ac:dyDescent="0.25">
      <c r="BV285" s="255" t="str">
        <f t="shared" si="142"/>
        <v>D.LM.14_15T.1200102</v>
      </c>
      <c r="BW285" s="32" t="s">
        <v>502</v>
      </c>
      <c r="BX285" s="32" t="s">
        <v>398</v>
      </c>
      <c r="BY285" s="32" t="s">
        <v>725</v>
      </c>
      <c r="BZ285" s="32">
        <v>1200102</v>
      </c>
      <c r="CA285" s="32">
        <v>1530</v>
      </c>
      <c r="CB285" s="273"/>
      <c r="CC285" s="274"/>
      <c r="CD285" s="257"/>
      <c r="CE285" s="273"/>
      <c r="DQ285" s="33"/>
      <c r="DR285" s="32"/>
      <c r="DS285" s="32"/>
      <c r="DT285" s="32"/>
      <c r="DU285" s="19"/>
      <c r="EI285" s="46"/>
      <c r="EJ285" s="32"/>
      <c r="EK285" s="34"/>
      <c r="EL285" s="32"/>
    </row>
    <row r="286" spans="74:142" x14ac:dyDescent="0.25">
      <c r="BV286" s="255" t="str">
        <f t="shared" si="142"/>
        <v>D.LM.14_16T.1200102</v>
      </c>
      <c r="BW286" s="32" t="s">
        <v>502</v>
      </c>
      <c r="BX286" s="32" t="s">
        <v>398</v>
      </c>
      <c r="BY286" s="32" t="s">
        <v>727</v>
      </c>
      <c r="BZ286" s="32">
        <v>1200102</v>
      </c>
      <c r="CA286" s="32">
        <v>1609</v>
      </c>
      <c r="CB286" s="273"/>
      <c r="CC286" s="274"/>
      <c r="CD286" s="257"/>
      <c r="CE286" s="273"/>
      <c r="DQ286" s="33"/>
      <c r="DR286" s="32"/>
      <c r="DS286" s="32"/>
      <c r="DT286" s="32"/>
      <c r="DU286" s="19"/>
      <c r="EI286" s="46"/>
      <c r="EJ286" s="32"/>
      <c r="EK286" s="34"/>
      <c r="EL286" s="32"/>
    </row>
    <row r="287" spans="74:142" x14ac:dyDescent="0.25">
      <c r="BV287" s="255" t="str">
        <f t="shared" si="142"/>
        <v>D.LM.15_16T.1200102</v>
      </c>
      <c r="BW287" s="32" t="s">
        <v>502</v>
      </c>
      <c r="BX287" s="32" t="s">
        <v>398</v>
      </c>
      <c r="BY287" s="32" t="s">
        <v>728</v>
      </c>
      <c r="BZ287" s="32">
        <v>1200102</v>
      </c>
      <c r="CA287" s="32">
        <v>1609</v>
      </c>
      <c r="CB287" s="273"/>
      <c r="CC287" s="274"/>
      <c r="CD287" s="257"/>
      <c r="CE287" s="273"/>
      <c r="DQ287" s="36"/>
      <c r="DR287" s="32"/>
      <c r="DS287" s="32"/>
      <c r="DT287" s="32"/>
      <c r="DU287" s="19"/>
      <c r="EI287" s="46"/>
      <c r="EJ287" s="32"/>
      <c r="EK287" s="34"/>
      <c r="EL287" s="32"/>
    </row>
    <row r="288" spans="74:142" x14ac:dyDescent="0.25">
      <c r="BV288" s="255" t="str">
        <f t="shared" si="142"/>
        <v>D.LM.16_16T.1200102</v>
      </c>
      <c r="BW288" s="32" t="s">
        <v>502</v>
      </c>
      <c r="BX288" s="32" t="s">
        <v>398</v>
      </c>
      <c r="BY288" s="32" t="s">
        <v>729</v>
      </c>
      <c r="BZ288" s="32">
        <v>1200102</v>
      </c>
      <c r="CA288" s="32">
        <v>1609</v>
      </c>
      <c r="CB288" s="273"/>
      <c r="CC288" s="274"/>
      <c r="CD288" s="257"/>
      <c r="CE288" s="273"/>
      <c r="DQ288" s="36"/>
      <c r="DR288" s="32"/>
      <c r="DS288" s="32"/>
      <c r="DT288" s="32"/>
      <c r="DU288" s="19"/>
      <c r="EI288" s="46"/>
      <c r="EJ288" s="32"/>
      <c r="EK288" s="34"/>
      <c r="EL288" s="32"/>
    </row>
    <row r="289" spans="74:142" x14ac:dyDescent="0.25">
      <c r="BV289" s="255" t="str">
        <f t="shared" si="142"/>
        <v>D.LM.7_10T.1200102</v>
      </c>
      <c r="BW289" s="32" t="s">
        <v>502</v>
      </c>
      <c r="BX289" s="32" t="s">
        <v>398</v>
      </c>
      <c r="BY289" s="32" t="s">
        <v>668</v>
      </c>
      <c r="BZ289" s="32">
        <v>1200102</v>
      </c>
      <c r="CA289" s="32">
        <v>1446</v>
      </c>
      <c r="CB289" s="273"/>
      <c r="CC289" s="274"/>
      <c r="CD289" s="257"/>
      <c r="CE289" s="273"/>
      <c r="DQ289" s="33"/>
      <c r="DR289" s="32"/>
      <c r="DS289" s="32"/>
      <c r="DT289" s="32"/>
      <c r="DU289" s="19"/>
      <c r="EI289" s="46"/>
      <c r="EJ289" s="32"/>
      <c r="EK289" s="34"/>
      <c r="EL289" s="32"/>
    </row>
    <row r="290" spans="74:142" x14ac:dyDescent="0.25">
      <c r="BV290" s="255" t="str">
        <f t="shared" si="142"/>
        <v>D.LM.7H_10T.1200102</v>
      </c>
      <c r="BW290" s="32" t="s">
        <v>502</v>
      </c>
      <c r="BX290" s="32" t="s">
        <v>398</v>
      </c>
      <c r="BY290" s="32" t="s">
        <v>674</v>
      </c>
      <c r="BZ290" s="32">
        <v>1200102</v>
      </c>
      <c r="CA290" s="32">
        <v>1446</v>
      </c>
      <c r="CB290" s="273"/>
      <c r="CC290" s="274"/>
      <c r="CD290" s="257"/>
      <c r="CE290" s="273"/>
      <c r="DQ290" s="33"/>
      <c r="DR290" s="32"/>
      <c r="DS290" s="32"/>
      <c r="DT290" s="32"/>
      <c r="DU290" s="19"/>
      <c r="EI290" s="46"/>
      <c r="EJ290" s="32"/>
      <c r="EK290" s="34"/>
      <c r="EL290" s="32"/>
    </row>
    <row r="291" spans="74:142" x14ac:dyDescent="0.25">
      <c r="BV291" s="255" t="str">
        <f t="shared" si="142"/>
        <v>D.LM.8_10T.1200102</v>
      </c>
      <c r="BW291" s="32" t="s">
        <v>502</v>
      </c>
      <c r="BX291" s="32" t="s">
        <v>398</v>
      </c>
      <c r="BY291" s="32" t="s">
        <v>669</v>
      </c>
      <c r="BZ291" s="32">
        <v>1200102</v>
      </c>
      <c r="CA291" s="32">
        <v>1446</v>
      </c>
      <c r="CB291" s="273"/>
      <c r="CC291" s="274"/>
      <c r="CD291" s="257"/>
      <c r="CE291" s="273"/>
      <c r="DQ291" s="33"/>
      <c r="DR291" s="32"/>
      <c r="DS291" s="32"/>
      <c r="DT291" s="32"/>
      <c r="DU291" s="19"/>
      <c r="EI291" s="46"/>
      <c r="EJ291" s="32"/>
      <c r="EK291" s="34"/>
      <c r="EL291" s="32"/>
    </row>
    <row r="292" spans="74:142" x14ac:dyDescent="0.25">
      <c r="BV292" s="255" t="str">
        <f t="shared" si="142"/>
        <v>D.LM.8_12T.1200102</v>
      </c>
      <c r="BW292" s="32" t="s">
        <v>502</v>
      </c>
      <c r="BX292" s="32" t="s">
        <v>398</v>
      </c>
      <c r="BY292" s="32" t="s">
        <v>671</v>
      </c>
      <c r="BZ292" s="32">
        <v>1200102</v>
      </c>
      <c r="CA292" s="32">
        <v>1330</v>
      </c>
      <c r="CB292" s="273"/>
      <c r="CC292" s="274"/>
      <c r="CD292" s="257"/>
      <c r="CE292" s="273"/>
      <c r="DQ292" s="33"/>
      <c r="DR292" s="32"/>
      <c r="DS292" s="32"/>
      <c r="DT292" s="32"/>
      <c r="DU292" s="19"/>
      <c r="EI292" s="46"/>
      <c r="EJ292" s="32"/>
      <c r="EK292" s="34"/>
      <c r="EL292" s="32"/>
    </row>
    <row r="293" spans="74:142" x14ac:dyDescent="0.25">
      <c r="BV293" s="255" t="str">
        <f t="shared" si="142"/>
        <v>D.LM.9_10T.1200102</v>
      </c>
      <c r="BW293" s="32" t="s">
        <v>502</v>
      </c>
      <c r="BX293" s="32" t="s">
        <v>398</v>
      </c>
      <c r="BY293" s="32" t="s">
        <v>670</v>
      </c>
      <c r="BZ293" s="32">
        <v>1200102</v>
      </c>
      <c r="CA293" s="32">
        <v>1446</v>
      </c>
      <c r="CB293" s="273"/>
      <c r="CC293" s="274"/>
      <c r="CD293" s="257"/>
      <c r="CE293" s="273"/>
      <c r="DQ293" s="33"/>
      <c r="DR293" s="32"/>
      <c r="DS293" s="32"/>
      <c r="DT293" s="34"/>
      <c r="DU293" s="19"/>
      <c r="EI293" s="46"/>
      <c r="EJ293" s="32"/>
      <c r="EK293" s="34"/>
      <c r="EL293" s="32"/>
    </row>
    <row r="294" spans="74:142" x14ac:dyDescent="0.25">
      <c r="BV294" s="255" t="str">
        <f t="shared" si="142"/>
        <v>D.LM.9_12T.1200102</v>
      </c>
      <c r="BW294" s="32" t="s">
        <v>502</v>
      </c>
      <c r="BX294" s="32" t="s">
        <v>398</v>
      </c>
      <c r="BY294" s="32" t="s">
        <v>672</v>
      </c>
      <c r="BZ294" s="32">
        <v>1200102</v>
      </c>
      <c r="CA294" s="32">
        <v>1330</v>
      </c>
      <c r="CB294" s="273"/>
      <c r="CC294" s="274"/>
      <c r="CD294" s="257"/>
      <c r="CE294" s="273"/>
      <c r="DQ294" s="33"/>
      <c r="DR294" s="32"/>
      <c r="DS294" s="32"/>
      <c r="DT294" s="32"/>
      <c r="DU294" s="19"/>
      <c r="EI294" s="46"/>
      <c r="EJ294" s="32"/>
      <c r="EK294" s="34"/>
      <c r="EL294" s="32"/>
    </row>
    <row r="295" spans="74:142" x14ac:dyDescent="0.25">
      <c r="BV295" s="255" t="str">
        <f t="shared" si="142"/>
        <v>D.LM.9_13T.1200102</v>
      </c>
      <c r="BW295" s="32" t="s">
        <v>502</v>
      </c>
      <c r="BX295" s="32" t="s">
        <v>398</v>
      </c>
      <c r="BY295" s="32" t="s">
        <v>673</v>
      </c>
      <c r="BZ295" s="32">
        <v>1200102</v>
      </c>
      <c r="CA295" s="32">
        <v>1341</v>
      </c>
      <c r="CB295" s="273"/>
      <c r="CC295" s="274"/>
      <c r="CD295" s="257"/>
      <c r="CE295" s="273"/>
      <c r="DQ295" s="33"/>
      <c r="DR295" s="32"/>
      <c r="DS295" s="32"/>
      <c r="DT295" s="32"/>
      <c r="DU295" s="19"/>
      <c r="EI295" s="46"/>
      <c r="EJ295" s="32"/>
      <c r="EK295" s="34"/>
      <c r="EL295" s="32"/>
    </row>
    <row r="296" spans="74:142" x14ac:dyDescent="0.25">
      <c r="BV296" s="255" t="str">
        <f t="shared" si="142"/>
        <v>D.LM.9_14T.1200102</v>
      </c>
      <c r="BW296" s="32" t="s">
        <v>502</v>
      </c>
      <c r="BX296" s="32" t="s">
        <v>398</v>
      </c>
      <c r="BY296" s="32" t="s">
        <v>737</v>
      </c>
      <c r="BZ296" s="32">
        <v>1200102</v>
      </c>
      <c r="CA296" s="32">
        <v>1467</v>
      </c>
      <c r="CB296" s="273"/>
      <c r="CC296" s="274"/>
      <c r="CD296" s="257"/>
      <c r="CE296" s="273"/>
      <c r="DQ296" s="33"/>
      <c r="DR296" s="32"/>
      <c r="DS296" s="32"/>
      <c r="DT296" s="32"/>
      <c r="DU296" s="19"/>
      <c r="EI296" s="46"/>
      <c r="EJ296" s="32"/>
      <c r="EK296" s="34"/>
      <c r="EL296" s="32"/>
    </row>
    <row r="297" spans="74:142" x14ac:dyDescent="0.25">
      <c r="BV297" s="255" t="str">
        <f t="shared" si="142"/>
        <v>D.LO.12_18B.1200102</v>
      </c>
      <c r="BW297" s="32" t="s">
        <v>502</v>
      </c>
      <c r="BX297" s="32" t="s">
        <v>732</v>
      </c>
      <c r="BY297" s="34" t="s">
        <v>683</v>
      </c>
      <c r="BZ297" s="32">
        <v>1200102</v>
      </c>
      <c r="CA297" s="32">
        <v>1514</v>
      </c>
      <c r="CB297" s="273"/>
      <c r="CC297" s="276"/>
      <c r="CD297" s="257"/>
      <c r="CE297" s="275"/>
      <c r="DQ297" s="33"/>
      <c r="DR297" s="32"/>
      <c r="DS297" s="32"/>
      <c r="DT297" s="32"/>
      <c r="DU297" s="19"/>
      <c r="EI297" s="46"/>
      <c r="EJ297" s="32"/>
      <c r="EK297" s="34"/>
      <c r="EL297" s="32"/>
    </row>
    <row r="298" spans="74:142" x14ac:dyDescent="0.25">
      <c r="BV298" s="255" t="str">
        <f t="shared" si="142"/>
        <v>D.LO.12_20B.1200102</v>
      </c>
      <c r="BW298" s="32" t="s">
        <v>502</v>
      </c>
      <c r="BX298" s="32" t="s">
        <v>732</v>
      </c>
      <c r="BY298" s="32" t="s">
        <v>686</v>
      </c>
      <c r="BZ298" s="32">
        <v>1200102</v>
      </c>
      <c r="CA298" s="32">
        <v>1574</v>
      </c>
      <c r="CB298" s="273"/>
      <c r="CC298" s="276"/>
      <c r="CD298" s="257"/>
      <c r="CE298" s="275"/>
      <c r="DQ298" s="36"/>
      <c r="DR298" s="32"/>
      <c r="DS298" s="32"/>
      <c r="DT298" s="32"/>
      <c r="DU298" s="19"/>
      <c r="EI298" s="46"/>
      <c r="EJ298" s="32"/>
      <c r="EK298" s="34"/>
      <c r="EL298" s="32"/>
    </row>
    <row r="299" spans="74:142" x14ac:dyDescent="0.25">
      <c r="BV299" s="255" t="str">
        <f t="shared" si="142"/>
        <v>D.LO.12_22B.1200102</v>
      </c>
      <c r="BW299" s="32" t="s">
        <v>502</v>
      </c>
      <c r="BX299" s="32" t="s">
        <v>732</v>
      </c>
      <c r="BY299" s="32" t="s">
        <v>690</v>
      </c>
      <c r="BZ299" s="32">
        <v>1200102</v>
      </c>
      <c r="CA299" s="32">
        <v>1616</v>
      </c>
      <c r="CB299" s="275"/>
      <c r="CC299" s="276"/>
      <c r="CD299" s="257"/>
      <c r="CE299" s="275"/>
      <c r="DQ299" s="33"/>
      <c r="DR299" s="32"/>
      <c r="DS299" s="32"/>
      <c r="DT299" s="34"/>
      <c r="DU299" s="19"/>
      <c r="EI299" s="46"/>
      <c r="EJ299" s="32"/>
      <c r="EK299" s="34"/>
      <c r="EL299" s="32"/>
    </row>
    <row r="300" spans="74:142" x14ac:dyDescent="0.25">
      <c r="BV300" s="255" t="str">
        <f t="shared" si="142"/>
        <v>D.LO.12_24B.1200102</v>
      </c>
      <c r="BW300" s="32" t="s">
        <v>502</v>
      </c>
      <c r="BX300" s="32" t="s">
        <v>732</v>
      </c>
      <c r="BY300" s="32" t="s">
        <v>695</v>
      </c>
      <c r="BZ300" s="32">
        <v>1200102</v>
      </c>
      <c r="CA300" s="32">
        <v>1680</v>
      </c>
      <c r="CB300" s="275"/>
      <c r="CC300" s="276"/>
      <c r="CD300" s="257"/>
      <c r="CE300" s="275"/>
      <c r="DQ300" s="33"/>
      <c r="DR300" s="32"/>
      <c r="DS300" s="32"/>
      <c r="DT300" s="34"/>
      <c r="DU300" s="19"/>
      <c r="EI300" s="46"/>
      <c r="EJ300" s="32"/>
      <c r="EK300" s="34"/>
      <c r="EL300" s="32"/>
    </row>
    <row r="301" spans="74:142" x14ac:dyDescent="0.25">
      <c r="BV301" s="255" t="str">
        <f t="shared" si="142"/>
        <v>D.LO.12_26B.1200102</v>
      </c>
      <c r="BW301" s="32" t="s">
        <v>502</v>
      </c>
      <c r="BX301" s="32" t="s">
        <v>732</v>
      </c>
      <c r="BY301" s="32" t="s">
        <v>700</v>
      </c>
      <c r="BZ301" s="32">
        <v>1200102</v>
      </c>
      <c r="CA301" s="32">
        <v>1691</v>
      </c>
      <c r="CB301" s="275"/>
      <c r="CC301" s="276"/>
      <c r="CD301" s="257"/>
      <c r="CE301" s="275"/>
      <c r="DQ301" s="33"/>
      <c r="DR301" s="32"/>
      <c r="DS301" s="32"/>
      <c r="DT301" s="32"/>
      <c r="DU301" s="19"/>
      <c r="EI301" s="46"/>
      <c r="EJ301" s="32"/>
      <c r="EK301" s="34"/>
      <c r="EL301" s="32"/>
    </row>
    <row r="302" spans="74:142" x14ac:dyDescent="0.25">
      <c r="BV302" s="255" t="str">
        <f t="shared" si="142"/>
        <v>D.LO.14_18B.1200102</v>
      </c>
      <c r="BW302" s="32" t="s">
        <v>502</v>
      </c>
      <c r="BX302" s="32" t="s">
        <v>732</v>
      </c>
      <c r="BY302" s="32" t="s">
        <v>684</v>
      </c>
      <c r="BZ302" s="32">
        <v>1200102</v>
      </c>
      <c r="CA302" s="32">
        <v>1514</v>
      </c>
      <c r="CB302" s="275"/>
      <c r="CC302" s="276"/>
      <c r="CD302" s="257"/>
      <c r="CE302" s="275"/>
      <c r="DQ302" s="33"/>
      <c r="DR302" s="32"/>
      <c r="DS302" s="32"/>
      <c r="DT302" s="34"/>
      <c r="DU302" s="19"/>
      <c r="EI302" s="46"/>
      <c r="EJ302" s="32"/>
      <c r="EK302" s="34"/>
      <c r="EL302" s="32"/>
    </row>
    <row r="303" spans="74:142" x14ac:dyDescent="0.25">
      <c r="BV303" s="255" t="str">
        <f t="shared" si="142"/>
        <v>D.LO.14_20B.1200102</v>
      </c>
      <c r="BW303" s="32" t="s">
        <v>502</v>
      </c>
      <c r="BX303" s="32" t="s">
        <v>732</v>
      </c>
      <c r="BY303" s="32" t="s">
        <v>687</v>
      </c>
      <c r="BZ303" s="32">
        <v>1200102</v>
      </c>
      <c r="CA303" s="32">
        <v>1574</v>
      </c>
      <c r="CB303" s="275"/>
      <c r="CC303" s="276"/>
      <c r="CD303" s="257"/>
      <c r="CE303" s="275"/>
      <c r="DQ303" s="33"/>
      <c r="DR303" s="32"/>
      <c r="DS303" s="32"/>
      <c r="DT303" s="34"/>
      <c r="DU303" s="19"/>
      <c r="EI303" s="46"/>
      <c r="EJ303" s="32"/>
      <c r="EK303" s="34"/>
      <c r="EL303" s="32"/>
    </row>
    <row r="304" spans="74:142" x14ac:dyDescent="0.25">
      <c r="BV304" s="255" t="str">
        <f t="shared" si="142"/>
        <v>D.LO.14_22B.1200102</v>
      </c>
      <c r="BW304" s="32" t="s">
        <v>502</v>
      </c>
      <c r="BX304" s="32" t="s">
        <v>732</v>
      </c>
      <c r="BY304" s="32" t="s">
        <v>691</v>
      </c>
      <c r="BZ304" s="32">
        <v>1200102</v>
      </c>
      <c r="CA304" s="32">
        <v>1616</v>
      </c>
      <c r="CB304" s="275"/>
      <c r="CC304" s="276"/>
      <c r="CD304" s="257"/>
      <c r="CE304" s="275"/>
      <c r="DQ304" s="36"/>
      <c r="DR304" s="32"/>
      <c r="DS304" s="32"/>
      <c r="DT304" s="34"/>
      <c r="DU304" s="19"/>
      <c r="EI304" s="46"/>
      <c r="EJ304" s="32"/>
      <c r="EK304" s="34"/>
      <c r="EL304" s="32"/>
    </row>
    <row r="305" spans="74:142" x14ac:dyDescent="0.25">
      <c r="BV305" s="255" t="str">
        <f t="shared" si="142"/>
        <v>D.LO.14_24B.1200102</v>
      </c>
      <c r="BW305" s="32" t="s">
        <v>502</v>
      </c>
      <c r="BX305" s="32" t="s">
        <v>732</v>
      </c>
      <c r="BY305" s="32" t="s">
        <v>696</v>
      </c>
      <c r="BZ305" s="32">
        <v>1200102</v>
      </c>
      <c r="CA305" s="32">
        <v>1680</v>
      </c>
      <c r="CB305" s="275"/>
      <c r="CC305" s="276"/>
      <c r="CD305" s="257"/>
      <c r="CE305" s="275"/>
      <c r="DQ305" s="36"/>
      <c r="DR305" s="32"/>
      <c r="DS305" s="32"/>
      <c r="DT305" s="34"/>
      <c r="DU305" s="19"/>
      <c r="EI305" s="46"/>
      <c r="EJ305" s="32"/>
      <c r="EK305" s="34"/>
      <c r="EL305" s="32"/>
    </row>
    <row r="306" spans="74:142" x14ac:dyDescent="0.25">
      <c r="BV306" s="255" t="str">
        <f t="shared" si="142"/>
        <v>D.LO.14_26B.1200102</v>
      </c>
      <c r="BW306" s="32" t="s">
        <v>502</v>
      </c>
      <c r="BX306" s="32" t="s">
        <v>732</v>
      </c>
      <c r="BY306" s="32" t="s">
        <v>701</v>
      </c>
      <c r="BZ306" s="32">
        <v>1200102</v>
      </c>
      <c r="CA306" s="32">
        <v>1691</v>
      </c>
      <c r="CB306" s="275"/>
      <c r="CC306" s="276"/>
      <c r="CD306" s="257"/>
      <c r="CE306" s="275"/>
      <c r="DQ306" s="33"/>
      <c r="DR306" s="32"/>
      <c r="DS306" s="32"/>
      <c r="DT306" s="34"/>
      <c r="DU306" s="19"/>
      <c r="EI306" s="46"/>
      <c r="EJ306" s="32"/>
      <c r="EK306" s="34"/>
      <c r="EL306" s="32"/>
    </row>
    <row r="307" spans="74:142" x14ac:dyDescent="0.25">
      <c r="BV307" s="255" t="str">
        <f t="shared" si="142"/>
        <v>D.LO.16_18B.1200102</v>
      </c>
      <c r="BW307" s="32" t="s">
        <v>502</v>
      </c>
      <c r="BX307" s="32" t="s">
        <v>732</v>
      </c>
      <c r="BY307" s="32" t="s">
        <v>685</v>
      </c>
      <c r="BZ307" s="32">
        <v>1200102</v>
      </c>
      <c r="CA307" s="32">
        <v>1514</v>
      </c>
      <c r="CB307" s="275"/>
      <c r="CC307" s="276"/>
      <c r="CD307" s="257"/>
      <c r="CE307" s="275"/>
      <c r="DQ307" s="36"/>
      <c r="DR307" s="32"/>
      <c r="DS307" s="32"/>
      <c r="DT307" s="34"/>
      <c r="DU307" s="19"/>
      <c r="EI307" s="46"/>
      <c r="EJ307" s="32"/>
      <c r="EK307" s="34"/>
      <c r="EL307" s="32"/>
    </row>
    <row r="308" spans="74:142" x14ac:dyDescent="0.25">
      <c r="BV308" s="255" t="str">
        <f t="shared" si="142"/>
        <v>D.LO.16_20B.1200102</v>
      </c>
      <c r="BW308" s="32" t="s">
        <v>502</v>
      </c>
      <c r="BX308" s="32" t="s">
        <v>732</v>
      </c>
      <c r="BY308" s="32" t="s">
        <v>688</v>
      </c>
      <c r="BZ308" s="32">
        <v>1200102</v>
      </c>
      <c r="CA308" s="32">
        <v>1574</v>
      </c>
      <c r="CB308" s="275"/>
      <c r="CC308" s="276"/>
      <c r="CD308" s="257"/>
      <c r="CE308" s="275"/>
      <c r="DQ308" s="36"/>
      <c r="DR308" s="32"/>
      <c r="DS308" s="32"/>
      <c r="DT308" s="32"/>
      <c r="DU308" s="19"/>
      <c r="EI308" s="46"/>
      <c r="EJ308" s="32"/>
      <c r="EK308" s="34"/>
      <c r="EL308" s="32"/>
    </row>
    <row r="309" spans="74:142" x14ac:dyDescent="0.25">
      <c r="BV309" s="255" t="str">
        <f t="shared" si="142"/>
        <v>D.LO.16_22B.1200102</v>
      </c>
      <c r="BW309" s="32" t="s">
        <v>502</v>
      </c>
      <c r="BX309" s="32" t="s">
        <v>732</v>
      </c>
      <c r="BY309" s="32" t="s">
        <v>692</v>
      </c>
      <c r="BZ309" s="32">
        <v>1200102</v>
      </c>
      <c r="CA309" s="32">
        <v>1616</v>
      </c>
      <c r="CB309" s="275"/>
      <c r="CC309" s="276"/>
      <c r="CD309" s="257"/>
      <c r="CE309" s="275"/>
      <c r="DQ309" s="36"/>
      <c r="DR309" s="32"/>
      <c r="DS309" s="32"/>
      <c r="DT309" s="34"/>
      <c r="DU309" s="19"/>
      <c r="EI309" s="46"/>
      <c r="EJ309" s="32"/>
      <c r="EK309" s="34"/>
      <c r="EL309" s="32"/>
    </row>
    <row r="310" spans="74:142" x14ac:dyDescent="0.25">
      <c r="BV310" s="255" t="str">
        <f t="shared" si="142"/>
        <v>D.LO.16_24B.1200102</v>
      </c>
      <c r="BW310" s="32" t="s">
        <v>502</v>
      </c>
      <c r="BX310" s="32" t="s">
        <v>732</v>
      </c>
      <c r="BY310" s="32" t="s">
        <v>697</v>
      </c>
      <c r="BZ310" s="32">
        <v>1200102</v>
      </c>
      <c r="CA310" s="32">
        <v>1680</v>
      </c>
      <c r="CB310" s="275"/>
      <c r="CC310" s="276"/>
      <c r="CD310" s="257"/>
      <c r="CE310" s="275"/>
      <c r="DQ310" s="36"/>
      <c r="DR310" s="32"/>
      <c r="DS310" s="32"/>
      <c r="DT310" s="34"/>
      <c r="DU310" s="19"/>
      <c r="EI310" s="46"/>
      <c r="EJ310" s="32"/>
      <c r="EK310" s="34"/>
      <c r="EL310" s="32"/>
    </row>
    <row r="311" spans="74:142" x14ac:dyDescent="0.25">
      <c r="BV311" s="255" t="str">
        <f t="shared" si="142"/>
        <v>D.LO.16_26B.1200102</v>
      </c>
      <c r="BW311" s="32" t="s">
        <v>502</v>
      </c>
      <c r="BX311" s="32" t="s">
        <v>732</v>
      </c>
      <c r="BY311" s="32" t="s">
        <v>702</v>
      </c>
      <c r="BZ311" s="32">
        <v>1200102</v>
      </c>
      <c r="CA311" s="32">
        <v>1691</v>
      </c>
      <c r="CB311" s="275"/>
      <c r="CC311" s="276"/>
      <c r="CD311" s="257"/>
      <c r="CE311" s="275"/>
      <c r="DQ311" s="36"/>
      <c r="DR311" s="32"/>
      <c r="DS311" s="32"/>
      <c r="DT311" s="34"/>
      <c r="DU311" s="19"/>
      <c r="EI311" s="46"/>
      <c r="EJ311" s="32"/>
      <c r="EK311" s="34"/>
      <c r="EL311" s="32"/>
    </row>
    <row r="312" spans="74:142" x14ac:dyDescent="0.25">
      <c r="BV312" s="255" t="str">
        <f t="shared" si="142"/>
        <v>D.LO.18_20B.1200102</v>
      </c>
      <c r="BW312" s="32" t="s">
        <v>502</v>
      </c>
      <c r="BX312" s="32" t="s">
        <v>732</v>
      </c>
      <c r="BY312" s="32" t="s">
        <v>689</v>
      </c>
      <c r="BZ312" s="32">
        <v>1200102</v>
      </c>
      <c r="CA312" s="32">
        <v>1574</v>
      </c>
      <c r="CB312" s="275"/>
      <c r="CC312" s="276"/>
      <c r="CD312" s="257"/>
      <c r="CE312" s="275"/>
      <c r="DQ312" s="36"/>
      <c r="DR312" s="32"/>
      <c r="DS312" s="32"/>
      <c r="DT312" s="32"/>
      <c r="DU312" s="19"/>
      <c r="EI312" s="46"/>
      <c r="EJ312" s="32"/>
      <c r="EK312" s="34"/>
      <c r="EL312" s="32"/>
    </row>
    <row r="313" spans="74:142" x14ac:dyDescent="0.25">
      <c r="BV313" s="255" t="str">
        <f t="shared" si="142"/>
        <v>D.LO.18_22B.1200102</v>
      </c>
      <c r="BW313" s="32" t="s">
        <v>502</v>
      </c>
      <c r="BX313" s="32" t="s">
        <v>732</v>
      </c>
      <c r="BY313" s="32" t="s">
        <v>693</v>
      </c>
      <c r="BZ313" s="32">
        <v>1200102</v>
      </c>
      <c r="CA313" s="32">
        <v>1616</v>
      </c>
      <c r="CB313" s="275"/>
      <c r="CC313" s="276"/>
      <c r="CD313" s="257"/>
      <c r="CE313" s="275"/>
      <c r="DQ313" s="33"/>
      <c r="DR313" s="32"/>
      <c r="DS313" s="32"/>
      <c r="DT313" s="32"/>
      <c r="DU313" s="19"/>
      <c r="EI313" s="46"/>
      <c r="EJ313" s="32"/>
      <c r="EK313" s="34"/>
      <c r="EL313" s="32"/>
    </row>
    <row r="314" spans="74:142" x14ac:dyDescent="0.25">
      <c r="BV314" s="255" t="str">
        <f t="shared" si="142"/>
        <v>D.LO.18_24B.1200102</v>
      </c>
      <c r="BW314" s="32" t="s">
        <v>502</v>
      </c>
      <c r="BX314" s="32" t="s">
        <v>732</v>
      </c>
      <c r="BY314" s="32" t="s">
        <v>698</v>
      </c>
      <c r="BZ314" s="32">
        <v>1200102</v>
      </c>
      <c r="CA314" s="32">
        <v>1680</v>
      </c>
      <c r="CB314" s="275"/>
      <c r="CC314" s="276"/>
      <c r="CD314" s="257"/>
      <c r="CE314" s="275"/>
      <c r="DQ314" s="36"/>
      <c r="DR314" s="32"/>
      <c r="DS314" s="32"/>
      <c r="DT314" s="32"/>
      <c r="DU314" s="19"/>
      <c r="EI314" s="46"/>
      <c r="EJ314" s="32"/>
      <c r="EK314" s="34"/>
      <c r="EL314" s="32"/>
    </row>
    <row r="315" spans="74:142" x14ac:dyDescent="0.25">
      <c r="BV315" s="255" t="str">
        <f t="shared" si="142"/>
        <v>D.LO.20_22B.1200102</v>
      </c>
      <c r="BW315" s="32" t="s">
        <v>502</v>
      </c>
      <c r="BX315" s="32" t="s">
        <v>732</v>
      </c>
      <c r="BY315" s="32" t="s">
        <v>694</v>
      </c>
      <c r="BZ315" s="32">
        <v>1200102</v>
      </c>
      <c r="CA315" s="32">
        <v>1616</v>
      </c>
      <c r="CB315" s="275"/>
      <c r="CC315" s="276"/>
      <c r="CD315" s="257"/>
      <c r="CE315" s="275"/>
      <c r="DQ315" s="36"/>
      <c r="DR315" s="32"/>
      <c r="DS315" s="32"/>
      <c r="DT315" s="32"/>
      <c r="DU315" s="19"/>
      <c r="EI315" s="46"/>
      <c r="EJ315" s="32"/>
      <c r="EK315" s="34"/>
      <c r="EL315" s="32"/>
    </row>
    <row r="316" spans="74:142" x14ac:dyDescent="0.25">
      <c r="BV316" s="255" t="str">
        <f t="shared" si="142"/>
        <v>D.LO.20_24B.1200102</v>
      </c>
      <c r="BW316" s="32" t="s">
        <v>502</v>
      </c>
      <c r="BX316" s="32" t="s">
        <v>732</v>
      </c>
      <c r="BY316" s="32" t="s">
        <v>699</v>
      </c>
      <c r="BZ316" s="32">
        <v>1200102</v>
      </c>
      <c r="CA316" s="32">
        <v>1677</v>
      </c>
      <c r="CB316" s="275"/>
      <c r="CC316" s="276"/>
      <c r="CD316" s="257"/>
      <c r="CE316" s="275"/>
      <c r="DQ316" s="36"/>
      <c r="DR316" s="32"/>
      <c r="DS316" s="32"/>
      <c r="DT316" s="34"/>
      <c r="DU316" s="19"/>
      <c r="EI316" s="46"/>
      <c r="EJ316" s="32"/>
      <c r="EK316" s="34"/>
      <c r="EL316" s="32"/>
    </row>
    <row r="317" spans="74:142" x14ac:dyDescent="0.25">
      <c r="BV317" s="255" t="str">
        <f t="shared" si="142"/>
        <v>D.LO.12_14F.1200102</v>
      </c>
      <c r="BW317" s="32" t="s">
        <v>502</v>
      </c>
      <c r="BX317" s="32" t="s">
        <v>732</v>
      </c>
      <c r="BY317" s="32" t="s">
        <v>703</v>
      </c>
      <c r="BZ317" s="32">
        <v>1200102</v>
      </c>
      <c r="CA317" s="32">
        <v>839</v>
      </c>
      <c r="CB317" s="275"/>
      <c r="CC317" s="276"/>
      <c r="CD317" s="257"/>
      <c r="CE317" s="275"/>
      <c r="DQ317" s="33"/>
      <c r="DR317" s="32"/>
      <c r="DS317" s="32"/>
      <c r="DT317" s="32"/>
      <c r="DU317" s="19"/>
      <c r="EI317" s="46"/>
      <c r="EJ317" s="32"/>
      <c r="EK317" s="34"/>
      <c r="EL317" s="32"/>
    </row>
    <row r="318" spans="74:142" x14ac:dyDescent="0.25">
      <c r="BV318" s="255" t="str">
        <f t="shared" si="142"/>
        <v>D.LO.13_14F.1200102</v>
      </c>
      <c r="BW318" s="32" t="s">
        <v>502</v>
      </c>
      <c r="BX318" s="32" t="s">
        <v>732</v>
      </c>
      <c r="BY318" s="32" t="s">
        <v>704</v>
      </c>
      <c r="BZ318" s="32">
        <v>1200102</v>
      </c>
      <c r="CA318" s="32">
        <v>839</v>
      </c>
      <c r="CB318" s="275"/>
      <c r="CC318" s="276"/>
      <c r="CD318" s="257"/>
      <c r="CE318" s="275"/>
      <c r="DQ318" s="33"/>
      <c r="DR318" s="32"/>
      <c r="DS318" s="32"/>
      <c r="DT318" s="32"/>
      <c r="DU318" s="19"/>
      <c r="EI318" s="46"/>
      <c r="EJ318" s="32"/>
      <c r="EK318" s="34"/>
      <c r="EL318" s="32"/>
    </row>
    <row r="319" spans="74:142" x14ac:dyDescent="0.25">
      <c r="BV319" s="255" t="str">
        <f t="shared" si="142"/>
        <v>D.LO.13_15F.1200102</v>
      </c>
      <c r="BW319" s="32" t="s">
        <v>502</v>
      </c>
      <c r="BX319" s="32" t="s">
        <v>732</v>
      </c>
      <c r="BY319" s="32" t="s">
        <v>706</v>
      </c>
      <c r="BZ319" s="32">
        <v>1200102</v>
      </c>
      <c r="CA319" s="32">
        <v>869</v>
      </c>
      <c r="CB319" s="275"/>
      <c r="CC319" s="276"/>
      <c r="CD319" s="257"/>
      <c r="CE319" s="275"/>
      <c r="DQ319" s="33"/>
      <c r="DR319" s="32"/>
      <c r="DS319" s="32"/>
      <c r="DT319" s="34"/>
      <c r="DU319" s="19"/>
      <c r="EI319" s="46"/>
      <c r="EJ319" s="32"/>
      <c r="EK319" s="34"/>
      <c r="EL319" s="32"/>
    </row>
    <row r="320" spans="74:142" x14ac:dyDescent="0.25">
      <c r="BV320" s="255" t="str">
        <f t="shared" si="142"/>
        <v>D.LO.13_16F.1200102</v>
      </c>
      <c r="BW320" s="32" t="s">
        <v>502</v>
      </c>
      <c r="BX320" s="32" t="s">
        <v>732</v>
      </c>
      <c r="BY320" s="32" t="s">
        <v>708</v>
      </c>
      <c r="BZ320" s="32">
        <v>1200102</v>
      </c>
      <c r="CA320" s="32">
        <v>891</v>
      </c>
      <c r="CB320" s="275"/>
      <c r="CC320" s="276"/>
      <c r="CD320" s="257"/>
      <c r="CE320" s="275"/>
      <c r="DQ320" s="33"/>
      <c r="DR320" s="32"/>
      <c r="DS320" s="32"/>
      <c r="DT320" s="34"/>
      <c r="DU320" s="19"/>
      <c r="EI320" s="46"/>
      <c r="EJ320" s="32"/>
      <c r="EK320" s="34"/>
      <c r="EL320" s="32"/>
    </row>
    <row r="321" spans="74:142" x14ac:dyDescent="0.25">
      <c r="BV321" s="255" t="str">
        <f t="shared" si="142"/>
        <v>D.LO.14_14F.1200102</v>
      </c>
      <c r="BW321" s="32" t="s">
        <v>502</v>
      </c>
      <c r="BX321" s="32" t="s">
        <v>732</v>
      </c>
      <c r="BY321" s="32" t="s">
        <v>705</v>
      </c>
      <c r="BZ321" s="32">
        <v>1200102</v>
      </c>
      <c r="CA321" s="32">
        <v>839</v>
      </c>
      <c r="CB321" s="275"/>
      <c r="CC321" s="276"/>
      <c r="CD321" s="257"/>
      <c r="CE321" s="275"/>
      <c r="DQ321" s="36"/>
      <c r="DR321" s="32"/>
      <c r="DS321" s="32"/>
      <c r="DT321" s="32"/>
      <c r="DU321" s="19"/>
      <c r="EI321" s="46"/>
      <c r="EJ321" s="32"/>
      <c r="EK321" s="34"/>
      <c r="EL321" s="32"/>
    </row>
    <row r="322" spans="74:142" x14ac:dyDescent="0.25">
      <c r="BV322" s="255" t="str">
        <f t="shared" si="142"/>
        <v>D.LO.14_15F.1200102</v>
      </c>
      <c r="BW322" s="32" t="s">
        <v>502</v>
      </c>
      <c r="BX322" s="32" t="s">
        <v>732</v>
      </c>
      <c r="BY322" s="32" t="s">
        <v>707</v>
      </c>
      <c r="BZ322" s="32">
        <v>1200102</v>
      </c>
      <c r="CA322" s="32">
        <v>869</v>
      </c>
      <c r="CB322" s="275"/>
      <c r="CC322" s="276"/>
      <c r="CD322" s="257"/>
      <c r="CE322" s="275"/>
      <c r="DQ322" s="33"/>
      <c r="DR322" s="32"/>
      <c r="DS322" s="32"/>
      <c r="DT322" s="32"/>
      <c r="DU322" s="19"/>
      <c r="EI322" s="46"/>
      <c r="EJ322" s="32"/>
      <c r="EK322" s="34"/>
      <c r="EL322" s="32"/>
    </row>
    <row r="323" spans="74:142" x14ac:dyDescent="0.25">
      <c r="BV323" s="255" t="str">
        <f t="shared" si="142"/>
        <v>D.LO.14_16F.1200102</v>
      </c>
      <c r="BW323" s="32" t="s">
        <v>502</v>
      </c>
      <c r="BX323" s="32" t="s">
        <v>732</v>
      </c>
      <c r="BY323" s="32" t="s">
        <v>709</v>
      </c>
      <c r="BZ323" s="32">
        <v>1200102</v>
      </c>
      <c r="CA323" s="32">
        <v>891</v>
      </c>
      <c r="CB323" s="275"/>
      <c r="CC323" s="276"/>
      <c r="CD323" s="257"/>
      <c r="CE323" s="275"/>
      <c r="DQ323" s="33"/>
      <c r="DR323" s="32"/>
      <c r="DS323" s="32"/>
      <c r="DT323" s="32"/>
      <c r="DU323" s="19"/>
      <c r="EI323" s="46"/>
      <c r="EJ323" s="32"/>
      <c r="EK323" s="34"/>
      <c r="EL323" s="32"/>
    </row>
    <row r="324" spans="74:142" x14ac:dyDescent="0.25">
      <c r="BV324" s="255" t="str">
        <f t="shared" si="142"/>
        <v>D.LO.15_16F.1200102</v>
      </c>
      <c r="BW324" s="32" t="s">
        <v>502</v>
      </c>
      <c r="BX324" s="32" t="s">
        <v>732</v>
      </c>
      <c r="BY324" s="32" t="s">
        <v>710</v>
      </c>
      <c r="BZ324" s="32">
        <v>1200102</v>
      </c>
      <c r="CA324" s="32">
        <v>891</v>
      </c>
      <c r="CB324" s="275"/>
      <c r="CC324" s="276"/>
      <c r="CD324" s="257"/>
      <c r="CE324" s="275"/>
      <c r="DQ324" s="36"/>
      <c r="DR324" s="32"/>
      <c r="DS324" s="32"/>
      <c r="DT324" s="32"/>
      <c r="DU324" s="19"/>
      <c r="EI324" s="46"/>
      <c r="EJ324" s="32"/>
      <c r="EK324" s="34"/>
      <c r="EL324" s="32"/>
    </row>
    <row r="325" spans="74:142" x14ac:dyDescent="0.25">
      <c r="BV325" s="255" t="str">
        <f t="shared" si="142"/>
        <v>D.LO.16_16F.1200102</v>
      </c>
      <c r="BW325" s="32" t="s">
        <v>502</v>
      </c>
      <c r="BX325" s="32" t="s">
        <v>732</v>
      </c>
      <c r="BY325" s="32" t="s">
        <v>711</v>
      </c>
      <c r="BZ325" s="32">
        <v>1200102</v>
      </c>
      <c r="CA325" s="32">
        <v>891</v>
      </c>
      <c r="CB325" s="275"/>
      <c r="CC325" s="276"/>
      <c r="CD325" s="257"/>
      <c r="CE325" s="275"/>
      <c r="DQ325" s="36"/>
      <c r="DR325" s="32"/>
      <c r="DS325" s="32"/>
      <c r="DT325" s="32"/>
      <c r="DU325" s="19"/>
      <c r="EI325" s="46"/>
      <c r="EJ325" s="32"/>
      <c r="EK325" s="34"/>
      <c r="EL325" s="32"/>
    </row>
    <row r="326" spans="74:142" x14ac:dyDescent="0.25">
      <c r="BV326" s="255" t="str">
        <f t="shared" si="142"/>
        <v>D.LO.16_18F.1200102</v>
      </c>
      <c r="BW326" s="32" t="s">
        <v>502</v>
      </c>
      <c r="BX326" s="32" t="s">
        <v>732</v>
      </c>
      <c r="BY326" s="32" t="s">
        <v>712</v>
      </c>
      <c r="BZ326" s="32">
        <v>1200102</v>
      </c>
      <c r="CA326" s="32">
        <v>1038</v>
      </c>
      <c r="CB326" s="275"/>
      <c r="CC326" s="276"/>
      <c r="CD326" s="257"/>
      <c r="CE326" s="275"/>
      <c r="DQ326" s="33"/>
      <c r="DR326" s="32"/>
      <c r="DS326" s="32"/>
      <c r="DT326" s="32"/>
      <c r="DU326" s="19"/>
      <c r="EI326" s="46"/>
      <c r="EJ326" s="32"/>
      <c r="EK326" s="34"/>
      <c r="EL326" s="32"/>
    </row>
    <row r="327" spans="74:142" x14ac:dyDescent="0.25">
      <c r="BV327" s="255" t="str">
        <f t="shared" si="142"/>
        <v>D.LO.10_14S.1200102</v>
      </c>
      <c r="BW327" s="32" t="s">
        <v>502</v>
      </c>
      <c r="BX327" s="32" t="s">
        <v>732</v>
      </c>
      <c r="BY327" s="32" t="s">
        <v>733</v>
      </c>
      <c r="BZ327" s="32">
        <v>1200102</v>
      </c>
      <c r="CA327" s="32">
        <v>796</v>
      </c>
      <c r="CB327" s="275"/>
      <c r="CC327" s="276"/>
      <c r="CD327" s="257"/>
      <c r="CE327" s="275"/>
      <c r="DQ327" s="33"/>
      <c r="DR327" s="32"/>
      <c r="DS327" s="32"/>
      <c r="DT327" s="32"/>
      <c r="DU327" s="19"/>
      <c r="EI327" s="46"/>
      <c r="EJ327" s="32"/>
      <c r="EK327" s="34"/>
      <c r="EL327" s="32"/>
    </row>
    <row r="328" spans="74:142" x14ac:dyDescent="0.25">
      <c r="BV328" s="255" t="str">
        <f t="shared" si="142"/>
        <v>D.LO.3H_13S.1200102</v>
      </c>
      <c r="BW328" s="32" t="s">
        <v>502</v>
      </c>
      <c r="BX328" s="32" t="s">
        <v>732</v>
      </c>
      <c r="BY328" s="32" t="s">
        <v>679</v>
      </c>
      <c r="BZ328" s="32">
        <v>1200102</v>
      </c>
      <c r="CA328" s="32">
        <v>614</v>
      </c>
      <c r="CB328" s="275"/>
      <c r="CC328" s="276"/>
      <c r="CD328" s="257"/>
      <c r="CE328" s="275"/>
      <c r="DQ328" s="33"/>
      <c r="DR328" s="32"/>
      <c r="DS328" s="32"/>
      <c r="DT328" s="32"/>
      <c r="DU328" s="19"/>
      <c r="EI328" s="46"/>
      <c r="EJ328" s="32"/>
      <c r="EK328" s="34"/>
      <c r="EL328" s="32"/>
    </row>
    <row r="329" spans="74:142" x14ac:dyDescent="0.25">
      <c r="BV329" s="255" t="str">
        <f t="shared" si="142"/>
        <v>D.LO.4_14S.1200102</v>
      </c>
      <c r="BW329" s="32" t="s">
        <v>502</v>
      </c>
      <c r="BX329" s="32" t="s">
        <v>732</v>
      </c>
      <c r="BY329" s="32" t="s">
        <v>739</v>
      </c>
      <c r="BZ329" s="32">
        <v>1200102</v>
      </c>
      <c r="CA329" s="32">
        <v>629</v>
      </c>
      <c r="CB329" s="275"/>
      <c r="CC329" s="276"/>
      <c r="CD329" s="257"/>
      <c r="CE329" s="275"/>
      <c r="DQ329" s="33"/>
      <c r="DR329" s="32"/>
      <c r="DS329" s="32"/>
      <c r="DT329" s="32"/>
      <c r="DU329" s="19"/>
      <c r="EI329" s="46"/>
      <c r="EJ329" s="32"/>
      <c r="EK329" s="34"/>
      <c r="EL329" s="32"/>
    </row>
    <row r="330" spans="74:142" x14ac:dyDescent="0.25">
      <c r="BV330" s="255" t="str">
        <f t="shared" si="142"/>
        <v>D.LO.4_14x8S.1200102</v>
      </c>
      <c r="BW330" s="32" t="s">
        <v>502</v>
      </c>
      <c r="BX330" s="32" t="s">
        <v>732</v>
      </c>
      <c r="BY330" s="32" t="s">
        <v>740</v>
      </c>
      <c r="BZ330" s="32">
        <v>1200102</v>
      </c>
      <c r="CA330" s="32">
        <v>629</v>
      </c>
      <c r="CB330" s="275"/>
      <c r="CC330" s="276"/>
      <c r="CD330" s="257"/>
      <c r="CE330" s="275"/>
      <c r="DQ330" s="33"/>
      <c r="DR330" s="32"/>
      <c r="DS330" s="32"/>
      <c r="DT330" s="32"/>
      <c r="DU330" s="19"/>
      <c r="EI330" s="46"/>
      <c r="EJ330" s="32"/>
      <c r="EK330" s="34"/>
      <c r="EL330" s="32"/>
    </row>
    <row r="331" spans="74:142" x14ac:dyDescent="0.25">
      <c r="BV331" s="255" t="str">
        <f t="shared" si="142"/>
        <v>D.LO.5_14S.1200102</v>
      </c>
      <c r="BW331" s="32" t="s">
        <v>502</v>
      </c>
      <c r="BX331" s="32" t="s">
        <v>732</v>
      </c>
      <c r="BY331" s="32" t="s">
        <v>677</v>
      </c>
      <c r="BZ331" s="32">
        <v>1200102</v>
      </c>
      <c r="CA331" s="32">
        <v>629</v>
      </c>
      <c r="CB331" s="275"/>
      <c r="CC331" s="276"/>
      <c r="CD331" s="257"/>
      <c r="CE331" s="275"/>
      <c r="DQ331" s="33"/>
      <c r="DR331" s="32"/>
      <c r="DS331" s="32"/>
      <c r="DT331" s="32"/>
      <c r="DU331" s="19"/>
      <c r="EI331" s="46"/>
      <c r="EJ331" s="32"/>
      <c r="EK331" s="34"/>
      <c r="EL331" s="32"/>
    </row>
    <row r="332" spans="74:142" x14ac:dyDescent="0.25">
      <c r="BV332" s="255" t="str">
        <f t="shared" si="142"/>
        <v>D.LO.5_14x8S.1200102</v>
      </c>
      <c r="BW332" s="32" t="s">
        <v>502</v>
      </c>
      <c r="BX332" s="32" t="s">
        <v>732</v>
      </c>
      <c r="BY332" s="32" t="s">
        <v>681</v>
      </c>
      <c r="BZ332" s="32">
        <v>1200102</v>
      </c>
      <c r="CA332" s="32">
        <v>629</v>
      </c>
      <c r="CB332" s="275"/>
      <c r="CC332" s="276"/>
      <c r="CD332" s="257"/>
      <c r="CE332" s="275"/>
      <c r="DQ332" s="33"/>
      <c r="DR332" s="32"/>
      <c r="DS332" s="32"/>
      <c r="DT332" s="32"/>
      <c r="DU332" s="19"/>
      <c r="EI332" s="46"/>
      <c r="EJ332" s="32"/>
      <c r="EK332" s="34"/>
      <c r="EL332" s="32"/>
    </row>
    <row r="333" spans="74:142" x14ac:dyDescent="0.25">
      <c r="BV333" s="255" t="str">
        <f t="shared" si="142"/>
        <v>D.LO.5H_14S.1200102</v>
      </c>
      <c r="BW333" s="32" t="s">
        <v>502</v>
      </c>
      <c r="BX333" s="32" t="s">
        <v>732</v>
      </c>
      <c r="BY333" s="32" t="s">
        <v>1208</v>
      </c>
      <c r="BZ333" s="32">
        <v>1200102</v>
      </c>
      <c r="CA333" s="32">
        <v>643</v>
      </c>
      <c r="CB333" s="275"/>
      <c r="CC333" s="276"/>
      <c r="CD333" s="257"/>
      <c r="CE333" s="275"/>
      <c r="DQ333" s="33"/>
      <c r="DR333" s="32"/>
      <c r="DS333" s="32"/>
      <c r="DT333" s="32"/>
      <c r="DU333" s="19"/>
      <c r="EI333" s="46"/>
      <c r="EJ333" s="32"/>
      <c r="EK333" s="34"/>
      <c r="EL333" s="32"/>
    </row>
    <row r="334" spans="74:142" x14ac:dyDescent="0.25">
      <c r="BV334" s="255" t="str">
        <f t="shared" si="142"/>
        <v>D.LO.5H_14x8S.1200102</v>
      </c>
      <c r="BW334" s="32" t="s">
        <v>502</v>
      </c>
      <c r="BX334" s="32" t="s">
        <v>732</v>
      </c>
      <c r="BY334" s="32" t="s">
        <v>1209</v>
      </c>
      <c r="BZ334" s="32">
        <v>1200102</v>
      </c>
      <c r="CA334" s="32">
        <v>643</v>
      </c>
      <c r="CB334" s="275"/>
      <c r="CC334" s="276"/>
      <c r="CD334" s="257"/>
      <c r="CE334" s="275"/>
      <c r="DQ334" s="33"/>
      <c r="DR334" s="32"/>
      <c r="DS334" s="32"/>
      <c r="DT334" s="32"/>
      <c r="DU334" s="19"/>
      <c r="EI334" s="46"/>
      <c r="EJ334" s="32"/>
      <c r="EK334" s="34"/>
      <c r="EL334" s="32"/>
    </row>
    <row r="335" spans="74:142" x14ac:dyDescent="0.25">
      <c r="BV335" s="255" t="str">
        <f t="shared" si="142"/>
        <v>D.LO.6_12S.1200102</v>
      </c>
      <c r="BW335" s="32" t="s">
        <v>502</v>
      </c>
      <c r="BX335" s="32" t="s">
        <v>732</v>
      </c>
      <c r="BY335" s="32" t="s">
        <v>675</v>
      </c>
      <c r="BZ335" s="32">
        <v>1200102</v>
      </c>
      <c r="CA335" s="32">
        <v>656</v>
      </c>
      <c r="CB335" s="275"/>
      <c r="CC335" s="276"/>
      <c r="CD335" s="257"/>
      <c r="CE335" s="275"/>
      <c r="DQ335" s="33"/>
      <c r="DR335" s="32"/>
      <c r="DS335" s="32"/>
      <c r="DT335" s="32"/>
      <c r="DU335" s="19"/>
      <c r="EI335" s="46"/>
      <c r="EJ335" s="32"/>
      <c r="EK335" s="34"/>
      <c r="EL335" s="32"/>
    </row>
    <row r="336" spans="74:142" x14ac:dyDescent="0.25">
      <c r="BV336" s="255" t="str">
        <f t="shared" si="142"/>
        <v>D.LO.6_13S.1200102</v>
      </c>
      <c r="BW336" s="32" t="s">
        <v>502</v>
      </c>
      <c r="BX336" s="32" t="s">
        <v>732</v>
      </c>
      <c r="BY336" s="32" t="s">
        <v>676</v>
      </c>
      <c r="BZ336" s="32">
        <v>1200102</v>
      </c>
      <c r="CA336" s="32">
        <v>656</v>
      </c>
      <c r="CB336" s="275"/>
      <c r="CC336" s="276"/>
      <c r="CD336" s="257"/>
      <c r="CE336" s="275"/>
      <c r="DQ336" s="33"/>
      <c r="DR336" s="32"/>
      <c r="DS336" s="32"/>
      <c r="DT336" s="32"/>
      <c r="DU336" s="19"/>
      <c r="EI336" s="46"/>
      <c r="EJ336" s="32"/>
      <c r="EK336" s="34"/>
      <c r="EL336" s="32"/>
    </row>
    <row r="337" spans="74:142" x14ac:dyDescent="0.25">
      <c r="BV337" s="255" t="str">
        <f t="shared" si="142"/>
        <v>D.LO.6H_14S.1200102</v>
      </c>
      <c r="BW337" s="32" t="s">
        <v>502</v>
      </c>
      <c r="BX337" s="32" t="s">
        <v>732</v>
      </c>
      <c r="BY337" s="32" t="s">
        <v>680</v>
      </c>
      <c r="BZ337" s="32">
        <v>1200102</v>
      </c>
      <c r="CA337" s="32">
        <v>671</v>
      </c>
      <c r="CB337" s="275"/>
      <c r="CC337" s="276"/>
      <c r="CD337" s="257"/>
      <c r="CE337" s="275"/>
      <c r="DQ337" s="33"/>
      <c r="DR337" s="32"/>
      <c r="DS337" s="32"/>
      <c r="DT337" s="32"/>
      <c r="DU337" s="19"/>
      <c r="EI337" s="46"/>
      <c r="EJ337" s="32"/>
      <c r="EK337" s="34"/>
      <c r="EL337" s="32"/>
    </row>
    <row r="338" spans="74:142" x14ac:dyDescent="0.25">
      <c r="BV338" s="255" t="str">
        <f t="shared" si="142"/>
        <v>D.LO.6H_14x8S.1200102</v>
      </c>
      <c r="BW338" s="32" t="s">
        <v>502</v>
      </c>
      <c r="BX338" s="32" t="s">
        <v>732</v>
      </c>
      <c r="BY338" s="32" t="s">
        <v>682</v>
      </c>
      <c r="BZ338" s="32">
        <v>1200102</v>
      </c>
      <c r="CA338" s="32">
        <v>671</v>
      </c>
      <c r="CB338" s="275"/>
      <c r="CC338" s="276"/>
      <c r="CD338" s="257"/>
      <c r="CE338" s="275"/>
      <c r="DQ338" s="33"/>
      <c r="DR338" s="32"/>
      <c r="DS338" s="32"/>
      <c r="DT338" s="32"/>
      <c r="DU338" s="19"/>
      <c r="EI338" s="46"/>
      <c r="EJ338" s="32"/>
      <c r="EK338" s="34"/>
      <c r="EL338" s="32"/>
    </row>
    <row r="339" spans="74:142" x14ac:dyDescent="0.25">
      <c r="BV339" s="255" t="str">
        <f t="shared" si="142"/>
        <v>D.LO.8_14S.1200102</v>
      </c>
      <c r="BW339" s="32" t="s">
        <v>502</v>
      </c>
      <c r="BX339" s="32" t="s">
        <v>732</v>
      </c>
      <c r="BY339" s="32" t="s">
        <v>678</v>
      </c>
      <c r="BZ339" s="32">
        <v>1200102</v>
      </c>
      <c r="CA339" s="32">
        <v>681</v>
      </c>
      <c r="CB339" s="275"/>
      <c r="CC339" s="276"/>
      <c r="CD339" s="257"/>
      <c r="CE339" s="275"/>
      <c r="DQ339" s="33"/>
      <c r="DR339" s="32"/>
      <c r="DS339" s="32"/>
      <c r="DT339" s="33"/>
      <c r="DU339" s="19"/>
      <c r="EI339" s="46"/>
      <c r="EJ339" s="32"/>
      <c r="EK339" s="34"/>
      <c r="EL339" s="32"/>
    </row>
    <row r="340" spans="74:142" x14ac:dyDescent="0.25">
      <c r="BV340" s="255" t="str">
        <f t="shared" si="142"/>
        <v>D.LO.10_12T.1200102</v>
      </c>
      <c r="BW340" s="32" t="s">
        <v>502</v>
      </c>
      <c r="BX340" s="32" t="s">
        <v>732</v>
      </c>
      <c r="BY340" s="32" t="s">
        <v>713</v>
      </c>
      <c r="BZ340" s="32">
        <v>1200102</v>
      </c>
      <c r="CA340" s="32">
        <v>681</v>
      </c>
      <c r="CB340" s="275"/>
      <c r="CC340" s="276"/>
      <c r="CD340" s="257"/>
      <c r="CE340" s="275"/>
      <c r="DQ340" s="33"/>
      <c r="DR340" s="32"/>
      <c r="DS340" s="32"/>
      <c r="DT340" s="32"/>
      <c r="DU340" s="19"/>
      <c r="EI340" s="46"/>
      <c r="EJ340" s="32"/>
      <c r="EK340" s="34"/>
      <c r="EL340" s="32"/>
    </row>
    <row r="341" spans="74:142" x14ac:dyDescent="0.25">
      <c r="BV341" s="255" t="str">
        <f t="shared" si="142"/>
        <v>D.LO.10_13T.1200102</v>
      </c>
      <c r="BW341" s="32" t="s">
        <v>502</v>
      </c>
      <c r="BX341" s="32" t="s">
        <v>732</v>
      </c>
      <c r="BY341" s="32" t="s">
        <v>715</v>
      </c>
      <c r="BZ341" s="32">
        <v>1200102</v>
      </c>
      <c r="CA341" s="32">
        <v>723</v>
      </c>
      <c r="CB341" s="275"/>
      <c r="CC341" s="276"/>
      <c r="CD341" s="257"/>
      <c r="CE341" s="275"/>
      <c r="DQ341" s="33"/>
      <c r="DR341" s="32"/>
      <c r="DS341" s="32"/>
      <c r="DT341" s="32"/>
      <c r="DU341" s="19"/>
      <c r="EI341" s="46"/>
      <c r="EJ341" s="32"/>
      <c r="EK341" s="34"/>
      <c r="EL341" s="32"/>
    </row>
    <row r="342" spans="74:142" x14ac:dyDescent="0.25">
      <c r="BV342" s="255" t="str">
        <f t="shared" ref="BV342:BV405" si="143">CONCATENATE(BW342,".",BX342,".",BY342,".",BZ342)</f>
        <v>D.LO.9_14T.1200102</v>
      </c>
      <c r="BW342" s="40" t="s">
        <v>502</v>
      </c>
      <c r="BX342" s="40" t="s">
        <v>732</v>
      </c>
      <c r="BY342" s="40" t="s">
        <v>737</v>
      </c>
      <c r="BZ342" s="40">
        <v>1200102</v>
      </c>
      <c r="CA342" s="32">
        <v>792</v>
      </c>
      <c r="CB342" s="275"/>
      <c r="CC342" s="276"/>
      <c r="CD342" s="257"/>
      <c r="CE342" s="275"/>
      <c r="DQ342" s="33"/>
      <c r="DR342" s="32"/>
      <c r="DS342" s="32"/>
      <c r="DT342" s="32"/>
      <c r="DU342" s="19"/>
      <c r="EI342" s="46"/>
      <c r="EJ342" s="32"/>
      <c r="EK342" s="34"/>
      <c r="EL342" s="32"/>
    </row>
    <row r="343" spans="74:142" x14ac:dyDescent="0.25">
      <c r="BV343" s="255" t="str">
        <f t="shared" si="143"/>
        <v>D.LO.10_14T.1200102</v>
      </c>
      <c r="BW343" s="358" t="s">
        <v>502</v>
      </c>
      <c r="BX343" s="358" t="s">
        <v>732</v>
      </c>
      <c r="BY343" s="358" t="s">
        <v>718</v>
      </c>
      <c r="BZ343" s="358">
        <v>1200102</v>
      </c>
      <c r="CA343" s="32">
        <v>792</v>
      </c>
      <c r="CB343" s="275"/>
      <c r="CC343" s="276"/>
      <c r="CD343" s="257"/>
      <c r="CE343" s="275"/>
      <c r="DQ343" s="33"/>
      <c r="DR343" s="32"/>
      <c r="DS343" s="32"/>
      <c r="DT343" s="32"/>
      <c r="DU343" s="19"/>
      <c r="EI343" s="46"/>
      <c r="EJ343" s="32"/>
      <c r="EK343" s="34"/>
      <c r="EL343" s="32"/>
    </row>
    <row r="344" spans="74:142" x14ac:dyDescent="0.25">
      <c r="BV344" s="255" t="str">
        <f t="shared" si="143"/>
        <v>D.LO.11_12T.1200102</v>
      </c>
      <c r="BW344" s="32" t="s">
        <v>502</v>
      </c>
      <c r="BX344" s="32" t="s">
        <v>732</v>
      </c>
      <c r="BY344" s="32" t="s">
        <v>714</v>
      </c>
      <c r="BZ344" s="32">
        <v>1200102</v>
      </c>
      <c r="CA344" s="32">
        <v>681</v>
      </c>
      <c r="CB344" s="275"/>
      <c r="CC344" s="276"/>
      <c r="CD344" s="257"/>
      <c r="CE344" s="275"/>
      <c r="DQ344" s="33"/>
      <c r="DR344" s="32"/>
      <c r="DS344" s="32"/>
      <c r="DT344" s="33"/>
      <c r="DU344" s="19"/>
      <c r="EI344" s="46"/>
      <c r="EJ344" s="32"/>
      <c r="EK344" s="34"/>
      <c r="EL344" s="32"/>
    </row>
    <row r="345" spans="74:142" x14ac:dyDescent="0.25">
      <c r="BV345" s="255" t="str">
        <f t="shared" si="143"/>
        <v>D.LO.11_13T.1200102</v>
      </c>
      <c r="BW345" s="32" t="s">
        <v>502</v>
      </c>
      <c r="BX345" s="32" t="s">
        <v>732</v>
      </c>
      <c r="BY345" s="32" t="s">
        <v>716</v>
      </c>
      <c r="BZ345" s="32">
        <v>1200102</v>
      </c>
      <c r="CA345" s="32">
        <v>723</v>
      </c>
      <c r="CB345" s="275"/>
      <c r="CC345" s="276"/>
      <c r="CD345" s="257"/>
      <c r="CE345" s="275"/>
      <c r="DQ345" s="33"/>
      <c r="DR345" s="32"/>
      <c r="DS345" s="32"/>
      <c r="DT345" s="32"/>
      <c r="DU345" s="19"/>
      <c r="EI345" s="46"/>
      <c r="EJ345" s="32"/>
      <c r="EK345" s="34"/>
      <c r="EL345" s="32"/>
    </row>
    <row r="346" spans="74:142" x14ac:dyDescent="0.25">
      <c r="BV346" s="255" t="str">
        <f t="shared" si="143"/>
        <v>D.LO.11_14T.1200102</v>
      </c>
      <c r="BW346" s="32" t="s">
        <v>502</v>
      </c>
      <c r="BX346" s="32" t="s">
        <v>732</v>
      </c>
      <c r="BY346" s="32" t="s">
        <v>719</v>
      </c>
      <c r="BZ346" s="32">
        <v>1200102</v>
      </c>
      <c r="CA346" s="32">
        <v>792</v>
      </c>
      <c r="CB346" s="275"/>
      <c r="CC346" s="276"/>
      <c r="CD346" s="257"/>
      <c r="CE346" s="275"/>
      <c r="DQ346" s="33"/>
      <c r="DR346" s="32"/>
      <c r="DS346" s="32"/>
      <c r="DT346" s="32"/>
      <c r="DU346" s="19"/>
      <c r="EI346" s="46"/>
      <c r="EJ346" s="32"/>
      <c r="EK346" s="34"/>
      <c r="EL346" s="32"/>
    </row>
    <row r="347" spans="74:142" x14ac:dyDescent="0.25">
      <c r="BV347" s="255" t="str">
        <f t="shared" si="143"/>
        <v>D.LO.12_13T.1200102</v>
      </c>
      <c r="BW347" s="32" t="s">
        <v>502</v>
      </c>
      <c r="BX347" s="32" t="s">
        <v>732</v>
      </c>
      <c r="BY347" s="32" t="s">
        <v>717</v>
      </c>
      <c r="BZ347" s="32">
        <v>1200102</v>
      </c>
      <c r="CA347" s="32">
        <v>723</v>
      </c>
      <c r="CB347" s="275"/>
      <c r="CC347" s="276"/>
      <c r="CD347" s="257"/>
      <c r="CE347" s="275"/>
      <c r="DQ347" s="33"/>
      <c r="DR347" s="32"/>
      <c r="DS347" s="32"/>
      <c r="DT347" s="32"/>
      <c r="DU347" s="19"/>
      <c r="EI347" s="46"/>
      <c r="EJ347" s="32"/>
      <c r="EK347" s="34"/>
      <c r="EL347" s="32"/>
    </row>
    <row r="348" spans="74:142" x14ac:dyDescent="0.25">
      <c r="BV348" s="255" t="str">
        <f t="shared" si="143"/>
        <v>D.LO.12_14T.1200102</v>
      </c>
      <c r="BW348" s="32" t="s">
        <v>502</v>
      </c>
      <c r="BX348" s="32" t="s">
        <v>732</v>
      </c>
      <c r="BY348" s="32" t="s">
        <v>720</v>
      </c>
      <c r="BZ348" s="32">
        <v>1200102</v>
      </c>
      <c r="CA348" s="32">
        <v>792</v>
      </c>
      <c r="CB348" s="275"/>
      <c r="CC348" s="276"/>
      <c r="CD348" s="257"/>
      <c r="CE348" s="275"/>
      <c r="DQ348" s="33"/>
      <c r="DR348" s="32"/>
      <c r="DS348" s="32"/>
      <c r="DT348" s="32"/>
      <c r="DU348" s="19"/>
      <c r="EI348" s="46"/>
      <c r="EJ348" s="32"/>
      <c r="EK348" s="34"/>
      <c r="EL348" s="32"/>
    </row>
    <row r="349" spans="74:142" x14ac:dyDescent="0.25">
      <c r="BV349" s="255" t="str">
        <f t="shared" si="143"/>
        <v>D.LO.12_15T.1200102</v>
      </c>
      <c r="BW349" s="32" t="s">
        <v>502</v>
      </c>
      <c r="BX349" s="32" t="s">
        <v>732</v>
      </c>
      <c r="BY349" s="32" t="s">
        <v>723</v>
      </c>
      <c r="BZ349" s="32">
        <v>1200102</v>
      </c>
      <c r="CA349" s="32">
        <v>883</v>
      </c>
      <c r="CB349" s="275"/>
      <c r="CC349" s="276"/>
      <c r="CD349" s="257"/>
      <c r="CE349" s="275"/>
      <c r="DQ349" s="33"/>
      <c r="DR349" s="32"/>
      <c r="DS349" s="32"/>
      <c r="DT349" s="32"/>
      <c r="DU349" s="19"/>
      <c r="EJ349" s="35"/>
      <c r="EK349" s="35"/>
      <c r="EL349" s="12"/>
    </row>
    <row r="350" spans="74:142" x14ac:dyDescent="0.25">
      <c r="BV350" s="255" t="str">
        <f t="shared" si="143"/>
        <v>D.LO.13_14T.1200102</v>
      </c>
      <c r="BW350" s="32" t="s">
        <v>502</v>
      </c>
      <c r="BX350" s="32" t="s">
        <v>732</v>
      </c>
      <c r="BY350" s="32" t="s">
        <v>721</v>
      </c>
      <c r="BZ350" s="32">
        <v>1200102</v>
      </c>
      <c r="CA350" s="32">
        <v>792</v>
      </c>
      <c r="CB350" s="275"/>
      <c r="CC350" s="276"/>
      <c r="CD350" s="257"/>
      <c r="CE350" s="275"/>
      <c r="DQ350" s="33"/>
      <c r="DR350" s="32"/>
      <c r="DS350" s="32"/>
      <c r="DT350" s="32"/>
      <c r="DU350" s="19"/>
      <c r="EJ350" s="35"/>
      <c r="EK350" s="35"/>
      <c r="EL350" s="12"/>
    </row>
    <row r="351" spans="74:142" x14ac:dyDescent="0.25">
      <c r="BV351" s="255" t="str">
        <f t="shared" si="143"/>
        <v>D.LO.13_15T.1200102</v>
      </c>
      <c r="BW351" s="32" t="s">
        <v>502</v>
      </c>
      <c r="BX351" s="32" t="s">
        <v>732</v>
      </c>
      <c r="BY351" s="32" t="s">
        <v>724</v>
      </c>
      <c r="BZ351" s="32">
        <v>1200102</v>
      </c>
      <c r="CA351" s="32">
        <v>883</v>
      </c>
      <c r="CB351" s="275"/>
      <c r="CC351" s="276"/>
      <c r="CD351" s="257"/>
      <c r="CE351" s="275"/>
      <c r="DQ351" s="33"/>
      <c r="DR351" s="32"/>
      <c r="DS351" s="32"/>
      <c r="DT351" s="32"/>
      <c r="DU351" s="19"/>
      <c r="EJ351" s="35"/>
      <c r="EK351" s="35"/>
      <c r="EL351" s="12"/>
    </row>
    <row r="352" spans="74:142" x14ac:dyDescent="0.25">
      <c r="BV352" s="255" t="str">
        <f t="shared" si="143"/>
        <v>D.LO.14_14T.1200102</v>
      </c>
      <c r="BW352" s="32" t="s">
        <v>502</v>
      </c>
      <c r="BX352" s="32" t="s">
        <v>732</v>
      </c>
      <c r="BY352" s="32" t="s">
        <v>722</v>
      </c>
      <c r="BZ352" s="32">
        <v>1200102</v>
      </c>
      <c r="CA352" s="32">
        <v>792</v>
      </c>
      <c r="CB352" s="275"/>
      <c r="CC352" s="276"/>
      <c r="CD352" s="257"/>
      <c r="CE352" s="275"/>
      <c r="DQ352" s="33"/>
      <c r="DR352" s="32"/>
      <c r="DS352" s="32"/>
      <c r="DT352" s="34"/>
      <c r="DU352" s="19"/>
      <c r="EJ352" s="35"/>
      <c r="EK352" s="35"/>
      <c r="EL352" s="12"/>
    </row>
    <row r="353" spans="74:142" x14ac:dyDescent="0.25">
      <c r="BV353" s="255" t="str">
        <f t="shared" si="143"/>
        <v>D.LO.14_15T.1200102</v>
      </c>
      <c r="BW353" s="32" t="s">
        <v>502</v>
      </c>
      <c r="BX353" s="32" t="s">
        <v>732</v>
      </c>
      <c r="BY353" s="32" t="s">
        <v>725</v>
      </c>
      <c r="BZ353" s="32">
        <v>1200102</v>
      </c>
      <c r="CA353" s="32">
        <v>883</v>
      </c>
      <c r="CB353" s="275"/>
      <c r="CC353" s="276"/>
      <c r="CD353" s="257"/>
      <c r="CE353" s="275"/>
      <c r="DQ353" s="33"/>
      <c r="DR353" s="32"/>
      <c r="DS353" s="32"/>
      <c r="DT353" s="32"/>
      <c r="DU353" s="19"/>
      <c r="EJ353" s="35"/>
      <c r="EK353" s="35"/>
      <c r="EL353" s="12"/>
    </row>
    <row r="354" spans="74:142" x14ac:dyDescent="0.25">
      <c r="BV354" s="255" t="str">
        <f t="shared" si="143"/>
        <v>D.LO.14_16T.1200102</v>
      </c>
      <c r="BW354" s="32" t="s">
        <v>502</v>
      </c>
      <c r="BX354" s="32" t="s">
        <v>732</v>
      </c>
      <c r="BY354" s="32" t="s">
        <v>727</v>
      </c>
      <c r="BZ354" s="32">
        <v>1200102</v>
      </c>
      <c r="CA354" s="32">
        <v>883</v>
      </c>
      <c r="CB354" s="275"/>
      <c r="CC354" s="276"/>
      <c r="CD354" s="257"/>
      <c r="CE354" s="275"/>
      <c r="DQ354" s="33"/>
      <c r="DR354" s="32"/>
      <c r="DS354" s="32"/>
      <c r="DT354" s="32"/>
      <c r="DU354" s="19"/>
      <c r="EJ354" s="35"/>
      <c r="EK354" s="35"/>
      <c r="EL354" s="12"/>
    </row>
    <row r="355" spans="74:142" x14ac:dyDescent="0.25">
      <c r="BV355" s="255" t="str">
        <f t="shared" si="143"/>
        <v>D.LO.16_16T.1200102</v>
      </c>
      <c r="BW355" s="32" t="s">
        <v>502</v>
      </c>
      <c r="BX355" s="32" t="s">
        <v>732</v>
      </c>
      <c r="BY355" s="32" t="s">
        <v>729</v>
      </c>
      <c r="BZ355" s="32">
        <v>1200102</v>
      </c>
      <c r="CA355" s="32">
        <v>883</v>
      </c>
      <c r="CB355" s="275"/>
      <c r="CC355" s="276"/>
      <c r="CD355" s="257"/>
      <c r="CE355" s="275"/>
      <c r="DQ355" s="33"/>
      <c r="DR355" s="32"/>
      <c r="DS355" s="32"/>
      <c r="DT355" s="34"/>
      <c r="DU355" s="19"/>
      <c r="EJ355" s="35"/>
      <c r="EK355" s="35"/>
      <c r="EL355" s="12"/>
    </row>
    <row r="356" spans="74:142" x14ac:dyDescent="0.25">
      <c r="BV356" s="255" t="str">
        <f t="shared" si="143"/>
        <v>D.LO.7_10T.1200102</v>
      </c>
      <c r="BW356" s="32" t="s">
        <v>502</v>
      </c>
      <c r="BX356" s="32" t="s">
        <v>732</v>
      </c>
      <c r="BY356" s="32" t="s">
        <v>668</v>
      </c>
      <c r="BZ356" s="32">
        <v>1200102</v>
      </c>
      <c r="CA356" s="32">
        <v>660</v>
      </c>
      <c r="CB356" s="275"/>
      <c r="CC356" s="276"/>
      <c r="CD356" s="257"/>
      <c r="CE356" s="275"/>
      <c r="DQ356" s="33"/>
      <c r="DR356" s="32"/>
      <c r="DS356" s="32"/>
      <c r="DT356" s="32"/>
      <c r="DU356" s="19"/>
      <c r="EJ356" s="35"/>
      <c r="EK356" s="35"/>
      <c r="EL356" s="12"/>
    </row>
    <row r="357" spans="74:142" x14ac:dyDescent="0.25">
      <c r="BV357" s="255" t="str">
        <f t="shared" si="143"/>
        <v>D.LO.7_8T.1200102</v>
      </c>
      <c r="BW357" s="32" t="s">
        <v>502</v>
      </c>
      <c r="BX357" s="32" t="s">
        <v>732</v>
      </c>
      <c r="BY357" s="32" t="s">
        <v>666</v>
      </c>
      <c r="BZ357" s="32">
        <v>1200102</v>
      </c>
      <c r="CA357" s="32">
        <v>537</v>
      </c>
      <c r="CB357" s="275"/>
      <c r="CC357" s="276"/>
      <c r="CD357" s="257"/>
      <c r="CE357" s="275"/>
      <c r="DQ357" s="36"/>
      <c r="DR357" s="32"/>
      <c r="DS357" s="32"/>
      <c r="DT357" s="32"/>
      <c r="DU357" s="19"/>
      <c r="EJ357" s="35"/>
      <c r="EK357" s="35"/>
      <c r="EL357" s="12"/>
    </row>
    <row r="358" spans="74:142" x14ac:dyDescent="0.25">
      <c r="BV358" s="255" t="str">
        <f t="shared" si="143"/>
        <v>D.LO.7H_10T.1200102</v>
      </c>
      <c r="BW358" s="32" t="s">
        <v>502</v>
      </c>
      <c r="BX358" s="32" t="s">
        <v>732</v>
      </c>
      <c r="BY358" s="32" t="s">
        <v>674</v>
      </c>
      <c r="BZ358" s="32">
        <v>1200102</v>
      </c>
      <c r="CA358" s="32">
        <v>660</v>
      </c>
      <c r="CB358" s="275"/>
      <c r="CC358" s="276"/>
      <c r="CD358" s="257"/>
      <c r="CE358" s="275"/>
      <c r="DQ358" s="33"/>
      <c r="DR358" s="32"/>
      <c r="DS358" s="32"/>
      <c r="DT358" s="32"/>
      <c r="DU358" s="19"/>
      <c r="EJ358" s="35"/>
      <c r="EK358" s="35"/>
      <c r="EL358" s="12"/>
    </row>
    <row r="359" spans="74:142" x14ac:dyDescent="0.25">
      <c r="BV359" s="255" t="str">
        <f t="shared" si="143"/>
        <v>D.LO.8_10T.1200102</v>
      </c>
      <c r="BW359" s="32" t="s">
        <v>502</v>
      </c>
      <c r="BX359" s="32" t="s">
        <v>732</v>
      </c>
      <c r="BY359" s="32" t="s">
        <v>669</v>
      </c>
      <c r="BZ359" s="32">
        <v>1200102</v>
      </c>
      <c r="CA359" s="32">
        <v>660</v>
      </c>
      <c r="CB359" s="275"/>
      <c r="CC359" s="276"/>
      <c r="CD359" s="257"/>
      <c r="CE359" s="275"/>
      <c r="DQ359" s="33"/>
      <c r="DR359" s="32"/>
      <c r="DS359" s="32"/>
      <c r="DT359" s="34"/>
      <c r="DU359" s="19"/>
      <c r="EJ359" s="44"/>
      <c r="EK359" s="44"/>
      <c r="EL359" s="12"/>
    </row>
    <row r="360" spans="74:142" x14ac:dyDescent="0.25">
      <c r="BV360" s="255" t="str">
        <f t="shared" si="143"/>
        <v>D.LO.8_12T.1200102</v>
      </c>
      <c r="BW360" s="32" t="s">
        <v>502</v>
      </c>
      <c r="BX360" s="32" t="s">
        <v>732</v>
      </c>
      <c r="BY360" s="32" t="s">
        <v>671</v>
      </c>
      <c r="BZ360" s="32">
        <v>1200102</v>
      </c>
      <c r="CA360" s="32">
        <v>681</v>
      </c>
      <c r="CB360" s="275"/>
      <c r="CC360" s="276"/>
      <c r="CD360" s="257"/>
      <c r="CE360" s="275"/>
      <c r="DQ360" s="36"/>
      <c r="DR360" s="32"/>
      <c r="DS360" s="32"/>
      <c r="DT360" s="34"/>
      <c r="DU360" s="19"/>
      <c r="EJ360" s="44"/>
      <c r="EK360" s="44"/>
      <c r="EL360" s="12"/>
    </row>
    <row r="361" spans="74:142" x14ac:dyDescent="0.25">
      <c r="BV361" s="255" t="str">
        <f t="shared" si="143"/>
        <v>D.LO.8_8T.1200102</v>
      </c>
      <c r="BW361" s="32" t="s">
        <v>502</v>
      </c>
      <c r="BX361" s="32" t="s">
        <v>732</v>
      </c>
      <c r="BY361" s="32" t="s">
        <v>667</v>
      </c>
      <c r="BZ361" s="32">
        <v>1200102</v>
      </c>
      <c r="CA361" s="32">
        <v>537</v>
      </c>
      <c r="CB361" s="275"/>
      <c r="CC361" s="276"/>
      <c r="CD361" s="257"/>
      <c r="CE361" s="275"/>
      <c r="DQ361" s="33"/>
      <c r="DR361" s="32"/>
      <c r="DS361" s="32"/>
      <c r="DT361" s="32"/>
      <c r="DU361" s="19"/>
      <c r="EJ361" s="34"/>
      <c r="EK361" s="34"/>
      <c r="EL361" s="32"/>
    </row>
    <row r="362" spans="74:142" x14ac:dyDescent="0.25">
      <c r="BV362" s="255" t="str">
        <f t="shared" si="143"/>
        <v>D.LO.9_10T.1200102</v>
      </c>
      <c r="BW362" s="32" t="s">
        <v>502</v>
      </c>
      <c r="BX362" s="32" t="s">
        <v>732</v>
      </c>
      <c r="BY362" s="32" t="s">
        <v>670</v>
      </c>
      <c r="BZ362" s="32">
        <v>1200102</v>
      </c>
      <c r="CA362" s="32">
        <v>660</v>
      </c>
      <c r="CB362" s="275"/>
      <c r="CC362" s="260"/>
      <c r="CD362" s="257"/>
      <c r="CE362" s="257"/>
      <c r="DQ362" s="33"/>
      <c r="DR362" s="32"/>
      <c r="DS362" s="32"/>
      <c r="DT362" s="32"/>
      <c r="DU362" s="19"/>
      <c r="EJ362" s="34"/>
      <c r="EK362" s="34"/>
      <c r="EL362" s="32"/>
    </row>
    <row r="363" spans="74:142" x14ac:dyDescent="0.25">
      <c r="BV363" s="255" t="str">
        <f t="shared" si="143"/>
        <v>D.LO.9_12T.1200102</v>
      </c>
      <c r="BW363" s="32" t="s">
        <v>502</v>
      </c>
      <c r="BX363" s="32" t="s">
        <v>732</v>
      </c>
      <c r="BY363" s="32" t="s">
        <v>672</v>
      </c>
      <c r="BZ363" s="32">
        <v>1200102</v>
      </c>
      <c r="CA363" s="32">
        <v>681</v>
      </c>
      <c r="CB363" s="275"/>
      <c r="CC363" s="260"/>
      <c r="CD363" s="257"/>
      <c r="CE363" s="257"/>
      <c r="DQ363" s="33"/>
      <c r="DR363" s="32"/>
      <c r="DS363" s="32"/>
      <c r="DT363" s="32"/>
      <c r="DU363" s="19"/>
      <c r="EJ363" s="34"/>
      <c r="EK363" s="34"/>
      <c r="EL363" s="32"/>
    </row>
    <row r="364" spans="74:142" x14ac:dyDescent="0.25">
      <c r="BV364" s="255" t="str">
        <f t="shared" si="143"/>
        <v>D.LO.9_13T.1200102</v>
      </c>
      <c r="BW364" s="32" t="s">
        <v>502</v>
      </c>
      <c r="BX364" s="32" t="s">
        <v>732</v>
      </c>
      <c r="BY364" s="32" t="s">
        <v>673</v>
      </c>
      <c r="BZ364" s="32">
        <v>1200102</v>
      </c>
      <c r="CA364" s="32">
        <v>723</v>
      </c>
      <c r="CB364" s="257"/>
      <c r="CC364" s="260"/>
      <c r="CD364" s="257"/>
      <c r="CE364" s="257"/>
      <c r="DQ364" s="36"/>
      <c r="DR364" s="32"/>
      <c r="DS364" s="32"/>
      <c r="DT364" s="32"/>
      <c r="DU364" s="19"/>
      <c r="EJ364" s="32"/>
      <c r="EK364" s="34"/>
      <c r="EL364" s="32"/>
    </row>
    <row r="365" spans="74:142" x14ac:dyDescent="0.25">
      <c r="BV365" s="255" t="str">
        <f t="shared" si="143"/>
        <v>D.LX.12_18B.1200102</v>
      </c>
      <c r="BW365" s="32" t="s">
        <v>502</v>
      </c>
      <c r="BX365" s="32" t="s">
        <v>391</v>
      </c>
      <c r="BY365" s="32" t="s">
        <v>683</v>
      </c>
      <c r="BZ365" s="32">
        <v>1200102</v>
      </c>
      <c r="CA365" s="32">
        <v>2641</v>
      </c>
      <c r="CB365" s="257"/>
      <c r="CC365" s="260"/>
      <c r="CD365" s="257"/>
      <c r="CE365" s="257"/>
      <c r="DQ365" s="36"/>
      <c r="DR365" s="32"/>
      <c r="DS365" s="32"/>
      <c r="DT365" s="32"/>
      <c r="DU365" s="19"/>
      <c r="EJ365" s="32"/>
      <c r="EK365" s="34"/>
      <c r="EL365" s="32"/>
    </row>
    <row r="366" spans="74:142" x14ac:dyDescent="0.25">
      <c r="BV366" s="255" t="str">
        <f t="shared" si="143"/>
        <v>D.LX.12_20B.1200102</v>
      </c>
      <c r="BW366" s="32" t="s">
        <v>502</v>
      </c>
      <c r="BX366" s="32" t="s">
        <v>391</v>
      </c>
      <c r="BY366" s="32" t="s">
        <v>686</v>
      </c>
      <c r="BZ366" s="32">
        <v>1200102</v>
      </c>
      <c r="CA366" s="32">
        <v>2662</v>
      </c>
      <c r="CB366" s="257"/>
      <c r="CC366" s="260"/>
      <c r="CD366" s="257"/>
      <c r="CE366" s="257"/>
      <c r="DQ366" s="33"/>
      <c r="DR366" s="32"/>
      <c r="DS366" s="32"/>
      <c r="DT366" s="32"/>
      <c r="DU366" s="19"/>
      <c r="EJ366" s="32"/>
      <c r="EK366" s="34"/>
      <c r="EL366" s="32"/>
    </row>
    <row r="367" spans="74:142" x14ac:dyDescent="0.25">
      <c r="BV367" s="255" t="str">
        <f t="shared" si="143"/>
        <v>D.LX.12_22B.1200102</v>
      </c>
      <c r="BW367" s="32" t="s">
        <v>502</v>
      </c>
      <c r="BX367" s="32" t="s">
        <v>391</v>
      </c>
      <c r="BY367" s="32" t="s">
        <v>690</v>
      </c>
      <c r="BZ367" s="32">
        <v>1200102</v>
      </c>
      <c r="CA367" s="32">
        <v>2672</v>
      </c>
      <c r="CB367" s="257"/>
      <c r="CC367" s="260"/>
      <c r="CD367" s="257"/>
      <c r="CE367" s="257"/>
      <c r="DQ367" s="33"/>
      <c r="DR367" s="32"/>
      <c r="DS367" s="32"/>
      <c r="DT367" s="32"/>
      <c r="DU367" s="19"/>
      <c r="EJ367" s="32"/>
      <c r="EK367" s="34"/>
      <c r="EL367" s="32"/>
    </row>
    <row r="368" spans="74:142" x14ac:dyDescent="0.25">
      <c r="BV368" s="255" t="str">
        <f t="shared" si="143"/>
        <v>D.LX.12_24B.1200102</v>
      </c>
      <c r="BW368" s="32" t="s">
        <v>502</v>
      </c>
      <c r="BX368" s="32" t="s">
        <v>391</v>
      </c>
      <c r="BY368" s="32" t="s">
        <v>695</v>
      </c>
      <c r="BZ368" s="32">
        <v>1200102</v>
      </c>
      <c r="CA368" s="32">
        <v>2814</v>
      </c>
      <c r="CB368" s="257"/>
      <c r="CC368" s="260"/>
      <c r="CD368" s="257"/>
      <c r="CE368" s="257"/>
      <c r="DQ368" s="33"/>
      <c r="DR368" s="32"/>
      <c r="DS368" s="32"/>
      <c r="DT368" s="32"/>
      <c r="DU368" s="19"/>
      <c r="EJ368" s="32"/>
      <c r="EK368" s="34"/>
      <c r="EL368" s="32"/>
    </row>
    <row r="369" spans="74:142" x14ac:dyDescent="0.25">
      <c r="BV369" s="255" t="str">
        <f t="shared" si="143"/>
        <v>D.LX.12_26B.1200102</v>
      </c>
      <c r="BW369" s="32" t="s">
        <v>502</v>
      </c>
      <c r="BX369" s="32" t="s">
        <v>391</v>
      </c>
      <c r="BY369" s="32" t="s">
        <v>700</v>
      </c>
      <c r="BZ369" s="32">
        <v>1200102</v>
      </c>
      <c r="CA369" s="32">
        <v>2835</v>
      </c>
      <c r="CB369" s="257"/>
      <c r="CC369" s="260"/>
      <c r="CD369" s="257"/>
      <c r="CE369" s="257"/>
      <c r="DQ369" s="33"/>
      <c r="DR369" s="32"/>
      <c r="DS369" s="32"/>
      <c r="DT369" s="32"/>
      <c r="DU369" s="19"/>
      <c r="EJ369" s="32"/>
      <c r="EK369" s="34"/>
      <c r="EL369" s="32"/>
    </row>
    <row r="370" spans="74:142" x14ac:dyDescent="0.25">
      <c r="BV370" s="255" t="str">
        <f t="shared" si="143"/>
        <v>D.LX.14_18B.1200102</v>
      </c>
      <c r="BW370" s="32" t="s">
        <v>502</v>
      </c>
      <c r="BX370" s="32" t="s">
        <v>391</v>
      </c>
      <c r="BY370" s="32" t="s">
        <v>684</v>
      </c>
      <c r="BZ370" s="32">
        <v>1200102</v>
      </c>
      <c r="CA370" s="32">
        <v>2641</v>
      </c>
      <c r="CB370" s="257"/>
      <c r="CC370" s="260"/>
      <c r="CD370" s="257"/>
      <c r="CE370" s="257"/>
      <c r="DQ370" s="33"/>
      <c r="DR370" s="32"/>
      <c r="DS370" s="32"/>
      <c r="DT370" s="34"/>
      <c r="DU370" s="19"/>
      <c r="EJ370" s="32"/>
      <c r="EK370" s="34"/>
      <c r="EL370" s="32"/>
    </row>
    <row r="371" spans="74:142" x14ac:dyDescent="0.25">
      <c r="BV371" s="255" t="str">
        <f t="shared" si="143"/>
        <v>D.LX.14_20B.1200102</v>
      </c>
      <c r="BW371" s="32" t="s">
        <v>502</v>
      </c>
      <c r="BX371" s="32" t="s">
        <v>391</v>
      </c>
      <c r="BY371" s="32" t="s">
        <v>687</v>
      </c>
      <c r="BZ371" s="32">
        <v>1200102</v>
      </c>
      <c r="CA371" s="32">
        <v>2662</v>
      </c>
      <c r="CB371" s="257"/>
      <c r="CC371" s="260"/>
      <c r="CD371" s="257"/>
      <c r="CE371" s="257"/>
      <c r="DQ371" s="33"/>
      <c r="DR371" s="32"/>
      <c r="DS371" s="32"/>
      <c r="DT371" s="32"/>
      <c r="DU371" s="19"/>
      <c r="EJ371" s="32"/>
      <c r="EK371" s="34"/>
      <c r="EL371" s="32"/>
    </row>
    <row r="372" spans="74:142" x14ac:dyDescent="0.25">
      <c r="BV372" s="255" t="str">
        <f t="shared" si="143"/>
        <v>D.LX.14_22B.1200102</v>
      </c>
      <c r="BW372" s="32" t="s">
        <v>502</v>
      </c>
      <c r="BX372" s="32" t="s">
        <v>391</v>
      </c>
      <c r="BY372" s="32" t="s">
        <v>691</v>
      </c>
      <c r="BZ372" s="32">
        <v>1200102</v>
      </c>
      <c r="CA372" s="32">
        <v>2672</v>
      </c>
      <c r="CB372" s="257"/>
      <c r="CC372" s="260"/>
      <c r="CD372" s="257"/>
      <c r="CE372" s="257"/>
      <c r="DQ372" s="33"/>
      <c r="DR372" s="32"/>
      <c r="DS372" s="32"/>
      <c r="DT372" s="32"/>
      <c r="DU372" s="19"/>
      <c r="EJ372" s="32"/>
      <c r="EK372" s="34"/>
      <c r="EL372" s="32"/>
    </row>
    <row r="373" spans="74:142" x14ac:dyDescent="0.25">
      <c r="BV373" s="255" t="str">
        <f t="shared" si="143"/>
        <v>D.LX.14_24B.1200102</v>
      </c>
      <c r="BW373" s="32" t="s">
        <v>502</v>
      </c>
      <c r="BX373" s="32" t="s">
        <v>391</v>
      </c>
      <c r="BY373" s="32" t="s">
        <v>696</v>
      </c>
      <c r="BZ373" s="32">
        <v>1200102</v>
      </c>
      <c r="CA373" s="32">
        <v>2814</v>
      </c>
      <c r="CB373" s="257"/>
      <c r="CC373" s="260"/>
      <c r="CD373" s="257"/>
      <c r="CE373" s="257"/>
      <c r="DQ373" s="33"/>
      <c r="DR373" s="32"/>
      <c r="DS373" s="32"/>
      <c r="DT373" s="32"/>
      <c r="DU373" s="19"/>
      <c r="EJ373" s="32"/>
      <c r="EK373" s="34"/>
      <c r="EL373" s="32"/>
    </row>
    <row r="374" spans="74:142" x14ac:dyDescent="0.25">
      <c r="BV374" s="255" t="str">
        <f t="shared" si="143"/>
        <v>D.LX.14_26B.1200102</v>
      </c>
      <c r="BW374" s="32" t="s">
        <v>502</v>
      </c>
      <c r="BX374" s="32" t="s">
        <v>391</v>
      </c>
      <c r="BY374" s="32" t="s">
        <v>701</v>
      </c>
      <c r="BZ374" s="32">
        <v>1200102</v>
      </c>
      <c r="CA374" s="32">
        <v>2835</v>
      </c>
      <c r="CB374" s="257"/>
      <c r="CC374" s="260"/>
      <c r="CD374" s="257"/>
      <c r="CE374" s="257"/>
      <c r="DQ374" s="33"/>
      <c r="DR374" s="32"/>
      <c r="DS374" s="32"/>
      <c r="DT374" s="32"/>
      <c r="DU374" s="19"/>
      <c r="EJ374" s="32"/>
      <c r="EK374" s="34"/>
      <c r="EL374" s="32"/>
    </row>
    <row r="375" spans="74:142" x14ac:dyDescent="0.25">
      <c r="BV375" s="255" t="str">
        <f t="shared" si="143"/>
        <v>D.LX.16_18B.1200102</v>
      </c>
      <c r="BW375" s="32" t="s">
        <v>502</v>
      </c>
      <c r="BX375" s="32" t="s">
        <v>391</v>
      </c>
      <c r="BY375" s="32" t="s">
        <v>685</v>
      </c>
      <c r="BZ375" s="32">
        <v>1200102</v>
      </c>
      <c r="CA375" s="32">
        <v>2641</v>
      </c>
      <c r="CB375" s="257"/>
      <c r="CC375" s="260"/>
      <c r="CD375" s="257"/>
      <c r="CE375" s="257"/>
      <c r="DQ375" s="36"/>
      <c r="DR375" s="32"/>
      <c r="DS375" s="32"/>
      <c r="DT375" s="32"/>
      <c r="DU375" s="19"/>
      <c r="EJ375" s="32"/>
      <c r="EK375" s="34"/>
      <c r="EL375" s="32"/>
    </row>
    <row r="376" spans="74:142" x14ac:dyDescent="0.25">
      <c r="BV376" s="255" t="str">
        <f t="shared" si="143"/>
        <v>D.LX.16_20B.1200102</v>
      </c>
      <c r="BW376" s="32" t="s">
        <v>502</v>
      </c>
      <c r="BX376" s="32" t="s">
        <v>391</v>
      </c>
      <c r="BY376" s="32" t="s">
        <v>688</v>
      </c>
      <c r="BZ376" s="32">
        <v>1200102</v>
      </c>
      <c r="CA376" s="32">
        <v>2662</v>
      </c>
      <c r="CB376" s="257"/>
      <c r="CC376" s="260"/>
      <c r="CD376" s="257"/>
      <c r="CE376" s="257"/>
      <c r="DQ376" s="33"/>
      <c r="DR376" s="32"/>
      <c r="DS376" s="32"/>
      <c r="DT376" s="32"/>
      <c r="DU376" s="19"/>
      <c r="EJ376" s="32"/>
      <c r="EK376" s="34"/>
      <c r="EL376" s="32"/>
    </row>
    <row r="377" spans="74:142" x14ac:dyDescent="0.25">
      <c r="BV377" s="255" t="str">
        <f t="shared" si="143"/>
        <v>D.LX.16_22B.1200102</v>
      </c>
      <c r="BW377" s="32" t="s">
        <v>502</v>
      </c>
      <c r="BX377" s="32" t="s">
        <v>391</v>
      </c>
      <c r="BY377" s="32" t="s">
        <v>692</v>
      </c>
      <c r="BZ377" s="32">
        <v>1200102</v>
      </c>
      <c r="CA377" s="32">
        <v>2672</v>
      </c>
      <c r="CB377" s="257"/>
      <c r="CC377" s="260"/>
      <c r="CD377" s="257"/>
      <c r="CE377" s="257"/>
      <c r="DQ377" s="33"/>
      <c r="DR377" s="32"/>
      <c r="DS377" s="32"/>
      <c r="DT377" s="34"/>
      <c r="DU377" s="19"/>
      <c r="EJ377" s="32"/>
      <c r="EK377" s="34"/>
      <c r="EL377" s="32"/>
    </row>
    <row r="378" spans="74:142" x14ac:dyDescent="0.25">
      <c r="BV378" s="255" t="str">
        <f t="shared" si="143"/>
        <v>D.LX.16_24B.1200102</v>
      </c>
      <c r="BW378" s="32" t="s">
        <v>502</v>
      </c>
      <c r="BX378" s="32" t="s">
        <v>391</v>
      </c>
      <c r="BY378" s="32" t="s">
        <v>697</v>
      </c>
      <c r="BZ378" s="32">
        <v>1200102</v>
      </c>
      <c r="CA378" s="32">
        <v>2814</v>
      </c>
      <c r="CB378" s="257"/>
      <c r="CC378" s="260"/>
      <c r="CD378" s="257"/>
      <c r="CE378" s="257"/>
      <c r="DQ378" s="33"/>
      <c r="DR378" s="32"/>
      <c r="DS378" s="32"/>
      <c r="DT378" s="34"/>
      <c r="DU378" s="19"/>
      <c r="EJ378" s="32"/>
      <c r="EK378" s="34"/>
      <c r="EL378" s="32"/>
    </row>
    <row r="379" spans="74:142" x14ac:dyDescent="0.25">
      <c r="BV379" s="255" t="str">
        <f t="shared" si="143"/>
        <v>D.LX.16_26B.1200102</v>
      </c>
      <c r="BW379" s="32" t="s">
        <v>502</v>
      </c>
      <c r="BX379" s="32" t="s">
        <v>391</v>
      </c>
      <c r="BY379" s="32" t="s">
        <v>702</v>
      </c>
      <c r="BZ379" s="32">
        <v>1200102</v>
      </c>
      <c r="CA379" s="32">
        <v>2835</v>
      </c>
      <c r="CB379" s="257"/>
      <c r="CC379" s="260"/>
      <c r="CD379" s="257"/>
      <c r="CE379" s="257"/>
      <c r="DQ379" s="33"/>
      <c r="DR379" s="32"/>
      <c r="DS379" s="32"/>
      <c r="DT379" s="32"/>
      <c r="DU379" s="19"/>
      <c r="EJ379" s="32"/>
      <c r="EK379" s="34"/>
      <c r="EL379" s="32"/>
    </row>
    <row r="380" spans="74:142" x14ac:dyDescent="0.25">
      <c r="BV380" s="255" t="str">
        <f t="shared" si="143"/>
        <v>D.LX.18_20B.1200102</v>
      </c>
      <c r="BW380" s="32" t="s">
        <v>502</v>
      </c>
      <c r="BX380" s="32" t="s">
        <v>391</v>
      </c>
      <c r="BY380" s="32" t="s">
        <v>689</v>
      </c>
      <c r="BZ380" s="32">
        <v>1200102</v>
      </c>
      <c r="CA380" s="32">
        <v>2662</v>
      </c>
      <c r="CB380" s="257"/>
      <c r="CC380" s="260"/>
      <c r="CD380" s="257"/>
      <c r="CE380" s="257"/>
      <c r="DQ380" s="33"/>
      <c r="DR380" s="32"/>
      <c r="DS380" s="32"/>
      <c r="DT380" s="34"/>
      <c r="DU380" s="19"/>
      <c r="EJ380" s="32"/>
      <c r="EK380" s="34"/>
      <c r="EL380" s="32"/>
    </row>
    <row r="381" spans="74:142" x14ac:dyDescent="0.25">
      <c r="BV381" s="255" t="str">
        <f t="shared" si="143"/>
        <v>D.LX.18_22B.1200102</v>
      </c>
      <c r="BW381" s="32" t="s">
        <v>502</v>
      </c>
      <c r="BX381" s="32" t="s">
        <v>391</v>
      </c>
      <c r="BY381" s="32" t="s">
        <v>693</v>
      </c>
      <c r="BZ381" s="32">
        <v>1200102</v>
      </c>
      <c r="CA381" s="32">
        <v>2672</v>
      </c>
      <c r="CB381" s="257"/>
      <c r="CC381" s="260"/>
      <c r="CD381" s="257"/>
      <c r="CE381" s="257"/>
      <c r="DQ381" s="33"/>
      <c r="DR381" s="32"/>
      <c r="DS381" s="32"/>
      <c r="DT381" s="34"/>
      <c r="DU381" s="19"/>
      <c r="EJ381" s="32"/>
      <c r="EK381" s="34"/>
      <c r="EL381" s="32"/>
    </row>
    <row r="382" spans="74:142" x14ac:dyDescent="0.25">
      <c r="BV382" s="255" t="str">
        <f t="shared" si="143"/>
        <v>D.LX.18_24B.1200102</v>
      </c>
      <c r="BW382" s="32" t="s">
        <v>502</v>
      </c>
      <c r="BX382" s="32" t="s">
        <v>391</v>
      </c>
      <c r="BY382" s="32" t="s">
        <v>698</v>
      </c>
      <c r="BZ382" s="32">
        <v>1200102</v>
      </c>
      <c r="CA382" s="32">
        <v>2814</v>
      </c>
      <c r="CB382" s="257"/>
      <c r="CC382" s="260"/>
      <c r="CD382" s="257"/>
      <c r="CE382" s="257"/>
      <c r="DQ382" s="36"/>
      <c r="DR382" s="32"/>
      <c r="DS382" s="32"/>
      <c r="DT382" s="34"/>
      <c r="DU382" s="19"/>
      <c r="EJ382" s="32"/>
      <c r="EK382" s="34"/>
      <c r="EL382" s="32"/>
    </row>
    <row r="383" spans="74:142" x14ac:dyDescent="0.25">
      <c r="BV383" s="255" t="str">
        <f t="shared" si="143"/>
        <v>D.LX.20_20B.1200102</v>
      </c>
      <c r="BW383" s="32" t="s">
        <v>502</v>
      </c>
      <c r="BX383" s="32" t="s">
        <v>391</v>
      </c>
      <c r="BY383" s="32" t="s">
        <v>738</v>
      </c>
      <c r="BZ383" s="32">
        <v>1200102</v>
      </c>
      <c r="CA383" s="32">
        <v>2662</v>
      </c>
      <c r="CB383" s="257"/>
      <c r="CC383" s="260"/>
      <c r="CD383" s="257"/>
      <c r="CE383" s="257"/>
      <c r="DQ383" s="36"/>
      <c r="DR383" s="32"/>
      <c r="DS383" s="32"/>
      <c r="DT383" s="34"/>
      <c r="DU383" s="19"/>
      <c r="EJ383" s="32"/>
      <c r="EK383" s="34"/>
      <c r="EL383" s="32"/>
    </row>
    <row r="384" spans="74:142" x14ac:dyDescent="0.25">
      <c r="BV384" s="255" t="str">
        <f t="shared" si="143"/>
        <v>D.LX.20_22B.1200102</v>
      </c>
      <c r="BW384" s="32" t="s">
        <v>502</v>
      </c>
      <c r="BX384" s="32" t="s">
        <v>391</v>
      </c>
      <c r="BY384" s="32" t="s">
        <v>694</v>
      </c>
      <c r="BZ384" s="32">
        <v>1200102</v>
      </c>
      <c r="CA384" s="32">
        <v>2672</v>
      </c>
      <c r="CB384" s="257"/>
      <c r="CC384" s="260"/>
      <c r="CD384" s="257"/>
      <c r="CE384" s="257"/>
      <c r="DQ384" s="33"/>
      <c r="DR384" s="32"/>
      <c r="DS384" s="32"/>
      <c r="DT384" s="34"/>
      <c r="DU384" s="19"/>
      <c r="EJ384" s="32"/>
      <c r="EK384" s="34"/>
      <c r="EL384" s="32"/>
    </row>
    <row r="385" spans="74:142" x14ac:dyDescent="0.25">
      <c r="BV385" s="255" t="str">
        <f t="shared" si="143"/>
        <v>D.LX.20_24B.1200102</v>
      </c>
      <c r="BW385" s="32" t="s">
        <v>502</v>
      </c>
      <c r="BX385" s="32" t="s">
        <v>391</v>
      </c>
      <c r="BY385" s="32" t="s">
        <v>699</v>
      </c>
      <c r="BZ385" s="32">
        <v>1200102</v>
      </c>
      <c r="CA385" s="32">
        <v>2814</v>
      </c>
      <c r="CB385" s="257"/>
      <c r="CC385" s="260"/>
      <c r="CD385" s="257"/>
      <c r="CE385" s="257"/>
      <c r="DQ385" s="36"/>
      <c r="DR385" s="32"/>
      <c r="DS385" s="32"/>
      <c r="DT385" s="34"/>
      <c r="DU385" s="19"/>
      <c r="EJ385" s="32"/>
      <c r="EK385" s="34"/>
      <c r="EL385" s="32"/>
    </row>
    <row r="386" spans="74:142" x14ac:dyDescent="0.25">
      <c r="BV386" s="255" t="str">
        <f t="shared" si="143"/>
        <v>D.LX.12_14F.1200102</v>
      </c>
      <c r="BW386" s="32" t="s">
        <v>502</v>
      </c>
      <c r="BX386" s="32" t="s">
        <v>391</v>
      </c>
      <c r="BY386" s="32" t="s">
        <v>703</v>
      </c>
      <c r="BZ386" s="32">
        <v>1200102</v>
      </c>
      <c r="CA386" s="32">
        <v>1710</v>
      </c>
      <c r="CB386" s="257"/>
      <c r="CC386" s="260"/>
      <c r="CD386" s="257"/>
      <c r="CE386" s="257"/>
      <c r="DQ386" s="36"/>
      <c r="DR386" s="32"/>
      <c r="DS386" s="32"/>
      <c r="DT386" s="32"/>
      <c r="DU386" s="19"/>
      <c r="EJ386" s="32"/>
      <c r="EK386" s="34"/>
      <c r="EL386" s="32"/>
    </row>
    <row r="387" spans="74:142" x14ac:dyDescent="0.25">
      <c r="BV387" s="255" t="str">
        <f t="shared" si="143"/>
        <v>D.LX.13_14F.1200102</v>
      </c>
      <c r="BW387" s="32" t="s">
        <v>502</v>
      </c>
      <c r="BX387" s="32" t="s">
        <v>391</v>
      </c>
      <c r="BY387" s="32" t="s">
        <v>704</v>
      </c>
      <c r="BZ387" s="32">
        <v>1200102</v>
      </c>
      <c r="CA387" s="32">
        <v>1710</v>
      </c>
      <c r="CB387" s="257"/>
      <c r="CC387" s="260"/>
      <c r="CD387" s="257"/>
      <c r="CE387" s="257"/>
      <c r="DQ387" s="36"/>
      <c r="DR387" s="32"/>
      <c r="DS387" s="32"/>
      <c r="DT387" s="34"/>
      <c r="DU387" s="19"/>
      <c r="EJ387" s="32"/>
      <c r="EK387" s="34"/>
      <c r="EL387" s="32"/>
    </row>
    <row r="388" spans="74:142" x14ac:dyDescent="0.25">
      <c r="BV388" s="255" t="str">
        <f t="shared" si="143"/>
        <v>D.LX.13_15F.1200102</v>
      </c>
      <c r="BW388" s="32" t="s">
        <v>502</v>
      </c>
      <c r="BX388" s="32" t="s">
        <v>391</v>
      </c>
      <c r="BY388" s="32" t="s">
        <v>706</v>
      </c>
      <c r="BZ388" s="32">
        <v>1200102</v>
      </c>
      <c r="CA388" s="32">
        <v>1772</v>
      </c>
      <c r="CB388" s="257"/>
      <c r="CC388" s="260"/>
      <c r="CD388" s="257"/>
      <c r="CE388" s="257"/>
      <c r="DQ388" s="36"/>
      <c r="DR388" s="32"/>
      <c r="DS388" s="32"/>
      <c r="DT388" s="34"/>
      <c r="DU388" s="19"/>
      <c r="EJ388" s="32"/>
      <c r="EK388" s="34"/>
      <c r="EL388" s="32"/>
    </row>
    <row r="389" spans="74:142" x14ac:dyDescent="0.25">
      <c r="BV389" s="255" t="str">
        <f t="shared" si="143"/>
        <v>D.LX.13_16F.1200102</v>
      </c>
      <c r="BW389" s="32" t="s">
        <v>502</v>
      </c>
      <c r="BX389" s="32" t="s">
        <v>391</v>
      </c>
      <c r="BY389" s="32" t="s">
        <v>708</v>
      </c>
      <c r="BZ389" s="32">
        <v>1200102</v>
      </c>
      <c r="CA389" s="32">
        <v>1801</v>
      </c>
      <c r="CB389" s="257"/>
      <c r="CC389" s="260"/>
      <c r="CD389" s="257"/>
      <c r="CE389" s="257"/>
      <c r="DQ389" s="36"/>
      <c r="DR389" s="32"/>
      <c r="DS389" s="32"/>
      <c r="DT389" s="34"/>
      <c r="DU389" s="19"/>
      <c r="EJ389" s="32"/>
      <c r="EK389" s="34"/>
      <c r="EL389" s="32"/>
    </row>
    <row r="390" spans="74:142" x14ac:dyDescent="0.25">
      <c r="BV390" s="255" t="str">
        <f t="shared" si="143"/>
        <v>D.LX.14_14F.1200102</v>
      </c>
      <c r="BW390" s="32" t="s">
        <v>502</v>
      </c>
      <c r="BX390" s="32" t="s">
        <v>391</v>
      </c>
      <c r="BY390" s="32" t="s">
        <v>705</v>
      </c>
      <c r="BZ390" s="32">
        <v>1200102</v>
      </c>
      <c r="CA390" s="32">
        <v>1710</v>
      </c>
      <c r="CB390" s="257"/>
      <c r="CC390" s="260"/>
      <c r="CD390" s="257"/>
      <c r="CE390" s="257"/>
      <c r="DQ390" s="36"/>
      <c r="DR390" s="32"/>
      <c r="DS390" s="32"/>
      <c r="DT390" s="32"/>
      <c r="DU390" s="19"/>
      <c r="EJ390" s="32"/>
      <c r="EK390" s="34"/>
      <c r="EL390" s="32"/>
    </row>
    <row r="391" spans="74:142" x14ac:dyDescent="0.25">
      <c r="BV391" s="255" t="str">
        <f t="shared" si="143"/>
        <v>D.LX.14_15F.1200102</v>
      </c>
      <c r="BW391" s="32" t="s">
        <v>502</v>
      </c>
      <c r="BX391" s="32" t="s">
        <v>391</v>
      </c>
      <c r="BY391" s="32" t="s">
        <v>707</v>
      </c>
      <c r="BZ391" s="32">
        <v>1200102</v>
      </c>
      <c r="CA391" s="32">
        <v>1772</v>
      </c>
      <c r="CB391" s="257"/>
      <c r="CC391" s="260"/>
      <c r="CD391" s="257"/>
      <c r="CE391" s="257"/>
      <c r="DQ391" s="33"/>
      <c r="DR391" s="32"/>
      <c r="DS391" s="32"/>
      <c r="DT391" s="32"/>
      <c r="DU391" s="19"/>
      <c r="EJ391" s="32"/>
      <c r="EK391" s="34"/>
      <c r="EL391" s="32"/>
    </row>
    <row r="392" spans="74:142" x14ac:dyDescent="0.25">
      <c r="BV392" s="255" t="str">
        <f t="shared" si="143"/>
        <v>D.LX.14_16F.1200102</v>
      </c>
      <c r="BW392" s="32" t="s">
        <v>502</v>
      </c>
      <c r="BX392" s="32" t="s">
        <v>391</v>
      </c>
      <c r="BY392" s="32" t="s">
        <v>709</v>
      </c>
      <c r="BZ392" s="32">
        <v>1200102</v>
      </c>
      <c r="CA392" s="32">
        <v>1801</v>
      </c>
      <c r="CB392" s="257"/>
      <c r="CC392" s="260"/>
      <c r="CD392" s="257"/>
      <c r="CE392" s="257"/>
      <c r="DQ392" s="36"/>
      <c r="DR392" s="32"/>
      <c r="DS392" s="32"/>
      <c r="DT392" s="32"/>
      <c r="DU392" s="19"/>
      <c r="EJ392" s="32"/>
      <c r="EK392" s="34"/>
      <c r="EL392" s="32"/>
    </row>
    <row r="393" spans="74:142" x14ac:dyDescent="0.25">
      <c r="BV393" s="255" t="str">
        <f t="shared" si="143"/>
        <v>D.LX.15_16F.1200102</v>
      </c>
      <c r="BW393" s="32" t="s">
        <v>502</v>
      </c>
      <c r="BX393" s="32" t="s">
        <v>391</v>
      </c>
      <c r="BY393" s="32" t="s">
        <v>710</v>
      </c>
      <c r="BZ393" s="32">
        <v>1200102</v>
      </c>
      <c r="CA393" s="32">
        <v>1801</v>
      </c>
      <c r="CB393" s="257"/>
      <c r="CC393" s="260"/>
      <c r="CD393" s="257"/>
      <c r="CE393" s="257"/>
      <c r="DQ393" s="36"/>
      <c r="DR393" s="32"/>
      <c r="DS393" s="32"/>
      <c r="DT393" s="32"/>
      <c r="DU393" s="19"/>
      <c r="EJ393" s="32"/>
      <c r="EK393" s="34"/>
      <c r="EL393" s="32"/>
    </row>
    <row r="394" spans="74:142" x14ac:dyDescent="0.25">
      <c r="BV394" s="255" t="str">
        <f t="shared" si="143"/>
        <v>D.LX.16_16F.1200102</v>
      </c>
      <c r="BW394" s="32" t="s">
        <v>502</v>
      </c>
      <c r="BX394" s="32" t="s">
        <v>391</v>
      </c>
      <c r="BY394" s="32" t="s">
        <v>711</v>
      </c>
      <c r="BZ394" s="32">
        <v>1200102</v>
      </c>
      <c r="CA394" s="32">
        <v>1801</v>
      </c>
      <c r="CB394" s="257"/>
      <c r="CC394" s="260"/>
      <c r="CD394" s="257"/>
      <c r="CE394" s="257"/>
      <c r="DQ394" s="36"/>
      <c r="DR394" s="32"/>
      <c r="DS394" s="32"/>
      <c r="DT394" s="34"/>
      <c r="DU394" s="19"/>
      <c r="EJ394" s="32"/>
      <c r="EK394" s="34"/>
      <c r="EL394" s="32"/>
    </row>
    <row r="395" spans="74:142" x14ac:dyDescent="0.25">
      <c r="BV395" s="255" t="str">
        <f t="shared" si="143"/>
        <v>D.LX.16_18F.1200102</v>
      </c>
      <c r="BW395" s="32" t="s">
        <v>502</v>
      </c>
      <c r="BX395" s="32" t="s">
        <v>391</v>
      </c>
      <c r="BY395" s="32" t="s">
        <v>712</v>
      </c>
      <c r="BZ395" s="32">
        <v>1200102</v>
      </c>
      <c r="CA395" s="32">
        <v>1845</v>
      </c>
      <c r="CB395" s="257"/>
      <c r="CC395" s="260"/>
      <c r="CD395" s="257"/>
      <c r="CE395" s="257"/>
      <c r="DQ395" s="33"/>
      <c r="DR395" s="32"/>
      <c r="DS395" s="32"/>
      <c r="DT395" s="32"/>
      <c r="DU395" s="19"/>
      <c r="EJ395" s="32"/>
      <c r="EK395" s="34"/>
      <c r="EL395" s="32"/>
    </row>
    <row r="396" spans="74:142" x14ac:dyDescent="0.25">
      <c r="BV396" s="255" t="str">
        <f t="shared" si="143"/>
        <v>D.LX.10_14S.1200102</v>
      </c>
      <c r="BW396" s="32" t="s">
        <v>502</v>
      </c>
      <c r="BX396" s="32" t="s">
        <v>391</v>
      </c>
      <c r="BY396" s="32" t="s">
        <v>733</v>
      </c>
      <c r="BZ396" s="32">
        <v>1200102</v>
      </c>
      <c r="CA396" s="32">
        <v>1325</v>
      </c>
      <c r="CB396" s="257"/>
      <c r="CC396" s="260"/>
      <c r="CD396" s="257"/>
      <c r="CE396" s="257"/>
      <c r="DQ396" s="33"/>
      <c r="DR396" s="32"/>
      <c r="DS396" s="32"/>
      <c r="DT396" s="32"/>
      <c r="DU396" s="19"/>
      <c r="EJ396" s="32"/>
      <c r="EK396" s="34"/>
      <c r="EL396" s="32"/>
    </row>
    <row r="397" spans="74:142" x14ac:dyDescent="0.25">
      <c r="BV397" s="255" t="str">
        <f t="shared" si="143"/>
        <v>D.LX.4_14S.1200102</v>
      </c>
      <c r="BW397" s="32" t="s">
        <v>502</v>
      </c>
      <c r="BX397" s="32" t="s">
        <v>391</v>
      </c>
      <c r="BY397" s="32" t="s">
        <v>739</v>
      </c>
      <c r="BZ397" s="32">
        <v>1200102</v>
      </c>
      <c r="CA397" s="32">
        <v>1167</v>
      </c>
      <c r="CB397" s="257"/>
      <c r="CC397" s="260"/>
      <c r="CD397" s="257"/>
      <c r="CE397" s="257"/>
      <c r="DQ397" s="33"/>
      <c r="DR397" s="32"/>
      <c r="DS397" s="32"/>
      <c r="DT397" s="34"/>
      <c r="DU397" s="19"/>
      <c r="EJ397" s="32"/>
      <c r="EK397" s="34"/>
      <c r="EL397" s="32"/>
    </row>
    <row r="398" spans="74:142" x14ac:dyDescent="0.25">
      <c r="BV398" s="255" t="str">
        <f t="shared" si="143"/>
        <v>D.LX.4_14x8S.1200102</v>
      </c>
      <c r="BW398" s="32" t="s">
        <v>502</v>
      </c>
      <c r="BX398" s="32" t="s">
        <v>391</v>
      </c>
      <c r="BY398" s="32" t="s">
        <v>740</v>
      </c>
      <c r="BZ398" s="32">
        <v>1200102</v>
      </c>
      <c r="CA398" s="32">
        <v>1167</v>
      </c>
      <c r="CB398" s="257"/>
      <c r="CC398" s="260"/>
      <c r="CD398" s="257"/>
      <c r="CE398" s="257"/>
      <c r="DQ398" s="33"/>
      <c r="DR398" s="32"/>
      <c r="DS398" s="32"/>
      <c r="DT398" s="34"/>
      <c r="DU398" s="19"/>
      <c r="EJ398" s="32"/>
      <c r="EK398" s="34"/>
      <c r="EL398" s="32"/>
    </row>
    <row r="399" spans="74:142" x14ac:dyDescent="0.25">
      <c r="BV399" s="255" t="str">
        <f t="shared" si="143"/>
        <v>D.LX.5_14S.1200102</v>
      </c>
      <c r="BW399" s="32" t="s">
        <v>502</v>
      </c>
      <c r="BX399" s="32" t="s">
        <v>391</v>
      </c>
      <c r="BY399" s="32" t="s">
        <v>677</v>
      </c>
      <c r="BZ399" s="32">
        <v>1200102</v>
      </c>
      <c r="CA399" s="32">
        <v>1167</v>
      </c>
      <c r="CB399" s="257"/>
      <c r="CC399" s="260"/>
      <c r="CD399" s="257"/>
      <c r="CE399" s="257"/>
      <c r="DQ399" s="36"/>
      <c r="DR399" s="32"/>
      <c r="DS399" s="32"/>
      <c r="DT399" s="32"/>
      <c r="DU399" s="19"/>
      <c r="EJ399" s="32"/>
      <c r="EK399" s="34"/>
      <c r="EL399" s="32"/>
    </row>
    <row r="400" spans="74:142" x14ac:dyDescent="0.25">
      <c r="BV400" s="255" t="str">
        <f t="shared" si="143"/>
        <v>D.LX.5_14x8S.1200102</v>
      </c>
      <c r="BW400" s="32" t="s">
        <v>502</v>
      </c>
      <c r="BX400" s="32" t="s">
        <v>391</v>
      </c>
      <c r="BY400" s="32" t="s">
        <v>681</v>
      </c>
      <c r="BZ400" s="32">
        <v>1200102</v>
      </c>
      <c r="CA400" s="32">
        <v>1167</v>
      </c>
      <c r="CB400" s="257"/>
      <c r="CC400" s="260"/>
      <c r="CD400" s="257"/>
      <c r="CE400" s="257"/>
      <c r="DQ400" s="33"/>
      <c r="DR400" s="32"/>
      <c r="DS400" s="32"/>
      <c r="DT400" s="32"/>
      <c r="DU400" s="19"/>
      <c r="EJ400" s="32"/>
      <c r="EK400" s="34"/>
      <c r="EL400" s="32"/>
    </row>
    <row r="401" spans="74:142" x14ac:dyDescent="0.25">
      <c r="BV401" s="255" t="str">
        <f t="shared" si="143"/>
        <v>D.LX.5H_14S.1200102</v>
      </c>
      <c r="BW401" s="32" t="s">
        <v>502</v>
      </c>
      <c r="BX401" s="32" t="s">
        <v>391</v>
      </c>
      <c r="BY401" s="32" t="s">
        <v>1208</v>
      </c>
      <c r="BZ401" s="32">
        <v>1200102</v>
      </c>
      <c r="CA401" s="32">
        <v>1193</v>
      </c>
      <c r="CB401" s="257"/>
      <c r="CC401" s="260"/>
      <c r="CD401" s="257"/>
      <c r="CE401" s="257"/>
      <c r="DQ401" s="33"/>
      <c r="DR401" s="32"/>
      <c r="DS401" s="32"/>
      <c r="DT401" s="32"/>
      <c r="DU401" s="19"/>
      <c r="EJ401" s="32"/>
      <c r="EK401" s="34"/>
      <c r="EL401" s="32"/>
    </row>
    <row r="402" spans="74:142" x14ac:dyDescent="0.25">
      <c r="BV402" s="255" t="str">
        <f t="shared" si="143"/>
        <v>D.LX.5H_14x8S.1200102</v>
      </c>
      <c r="BW402" s="32" t="s">
        <v>502</v>
      </c>
      <c r="BX402" s="32" t="s">
        <v>391</v>
      </c>
      <c r="BY402" s="32" t="s">
        <v>1209</v>
      </c>
      <c r="BZ402" s="32">
        <v>1200102</v>
      </c>
      <c r="CA402" s="32">
        <v>1193</v>
      </c>
      <c r="CB402" s="257"/>
      <c r="CC402" s="260"/>
      <c r="CD402" s="257"/>
      <c r="CE402" s="257"/>
      <c r="DQ402" s="36"/>
      <c r="DR402" s="32"/>
      <c r="DS402" s="32"/>
      <c r="DT402" s="32"/>
      <c r="DU402" s="19"/>
      <c r="EJ402" s="32"/>
      <c r="EK402" s="34"/>
      <c r="EL402" s="32"/>
    </row>
    <row r="403" spans="74:142" x14ac:dyDescent="0.25">
      <c r="BV403" s="255" t="str">
        <f t="shared" si="143"/>
        <v>D.LX.6_12S.1200102</v>
      </c>
      <c r="BW403" s="32" t="s">
        <v>502</v>
      </c>
      <c r="BX403" s="32" t="s">
        <v>391</v>
      </c>
      <c r="BY403" s="32" t="s">
        <v>675</v>
      </c>
      <c r="BZ403" s="32">
        <v>1200102</v>
      </c>
      <c r="CA403" s="32">
        <v>1178</v>
      </c>
      <c r="CB403" s="257"/>
      <c r="CC403" s="260"/>
      <c r="CD403" s="257"/>
      <c r="CE403" s="257"/>
      <c r="DQ403" s="36"/>
      <c r="DR403" s="32"/>
      <c r="DS403" s="32"/>
      <c r="DT403" s="32"/>
      <c r="DU403" s="19"/>
      <c r="EJ403" s="32"/>
      <c r="EK403" s="34"/>
      <c r="EL403" s="32"/>
    </row>
    <row r="404" spans="74:142" x14ac:dyDescent="0.25">
      <c r="BV404" s="255" t="str">
        <f t="shared" si="143"/>
        <v>D.LX.6_13S.1200102</v>
      </c>
      <c r="BW404" s="32" t="s">
        <v>502</v>
      </c>
      <c r="BX404" s="32" t="s">
        <v>391</v>
      </c>
      <c r="BY404" s="32" t="s">
        <v>676</v>
      </c>
      <c r="BZ404" s="32">
        <v>1200102</v>
      </c>
      <c r="CA404" s="32">
        <v>1206</v>
      </c>
      <c r="CB404" s="257"/>
      <c r="CC404" s="260"/>
      <c r="CD404" s="257"/>
      <c r="CE404" s="257"/>
      <c r="DQ404" s="33"/>
      <c r="DR404" s="32"/>
      <c r="DS404" s="32"/>
      <c r="DT404" s="32"/>
      <c r="DU404" s="19"/>
      <c r="EJ404" s="32"/>
      <c r="EK404" s="34"/>
      <c r="EL404" s="32"/>
    </row>
    <row r="405" spans="74:142" x14ac:dyDescent="0.25">
      <c r="BV405" s="255" t="str">
        <f t="shared" si="143"/>
        <v>D.LX.6H_14S.1200102</v>
      </c>
      <c r="BW405" s="32" t="s">
        <v>502</v>
      </c>
      <c r="BX405" s="32" t="s">
        <v>391</v>
      </c>
      <c r="BY405" s="32" t="s">
        <v>680</v>
      </c>
      <c r="BZ405" s="32">
        <v>1200102</v>
      </c>
      <c r="CA405" s="32">
        <v>1246</v>
      </c>
      <c r="CB405" s="257"/>
      <c r="CC405" s="260"/>
      <c r="CD405" s="257"/>
      <c r="CE405" s="257"/>
      <c r="DQ405" s="33"/>
      <c r="DR405" s="32"/>
      <c r="DS405" s="32"/>
      <c r="DT405" s="32"/>
      <c r="DU405" s="19"/>
      <c r="EJ405" s="32"/>
      <c r="EK405" s="34"/>
      <c r="EL405" s="32"/>
    </row>
    <row r="406" spans="74:142" x14ac:dyDescent="0.25">
      <c r="BV406" s="255" t="str">
        <f t="shared" ref="BV406:BV469" si="144">CONCATENATE(BW406,".",BX406,".",BY406,".",BZ406)</f>
        <v>D.LX.6H_14x8S.1200102</v>
      </c>
      <c r="BW406" s="32" t="s">
        <v>502</v>
      </c>
      <c r="BX406" s="32" t="s">
        <v>391</v>
      </c>
      <c r="BY406" s="32" t="s">
        <v>682</v>
      </c>
      <c r="BZ406" s="32">
        <v>1200102</v>
      </c>
      <c r="CA406" s="32">
        <v>1246</v>
      </c>
      <c r="CB406" s="257"/>
      <c r="CC406" s="260"/>
      <c r="CD406" s="257"/>
      <c r="CE406" s="257"/>
      <c r="DQ406" s="33"/>
      <c r="DR406" s="32"/>
      <c r="DS406" s="32"/>
      <c r="DT406" s="32"/>
      <c r="DU406" s="19"/>
      <c r="EJ406" s="32"/>
      <c r="EK406" s="34"/>
      <c r="EL406" s="32"/>
    </row>
    <row r="407" spans="74:142" x14ac:dyDescent="0.25">
      <c r="BV407" s="255" t="str">
        <f t="shared" si="144"/>
        <v>D.LX.8_14S.1200102</v>
      </c>
      <c r="BW407" s="32" t="s">
        <v>502</v>
      </c>
      <c r="BX407" s="32" t="s">
        <v>391</v>
      </c>
      <c r="BY407" s="32" t="s">
        <v>678</v>
      </c>
      <c r="BZ407" s="32">
        <v>1200102</v>
      </c>
      <c r="CA407" s="32">
        <v>1297</v>
      </c>
      <c r="CB407" s="257"/>
      <c r="CC407" s="260"/>
      <c r="CD407" s="257"/>
      <c r="CE407" s="257"/>
      <c r="DQ407" s="33"/>
      <c r="DR407" s="32"/>
      <c r="DS407" s="32"/>
      <c r="DT407" s="32"/>
      <c r="DU407" s="19"/>
      <c r="EJ407" s="32"/>
      <c r="EK407" s="34"/>
      <c r="EL407" s="32"/>
    </row>
    <row r="408" spans="74:142" x14ac:dyDescent="0.25">
      <c r="BV408" s="255" t="str">
        <f t="shared" si="144"/>
        <v>D.LX.10_12T.1200102</v>
      </c>
      <c r="BW408" s="32" t="s">
        <v>502</v>
      </c>
      <c r="BX408" s="32" t="s">
        <v>391</v>
      </c>
      <c r="BY408" s="32" t="s">
        <v>713</v>
      </c>
      <c r="BZ408" s="32">
        <v>1200102</v>
      </c>
      <c r="CA408" s="32">
        <v>1475</v>
      </c>
      <c r="CB408" s="257"/>
      <c r="CC408" s="260"/>
      <c r="CD408" s="257"/>
      <c r="CE408" s="257"/>
      <c r="DQ408" s="33"/>
      <c r="DR408" s="32"/>
      <c r="DS408" s="32"/>
      <c r="DT408" s="32"/>
      <c r="DU408" s="19"/>
      <c r="EJ408" s="32"/>
      <c r="EK408" s="34"/>
      <c r="EL408" s="32"/>
    </row>
    <row r="409" spans="74:142" x14ac:dyDescent="0.25">
      <c r="BV409" s="255" t="str">
        <f t="shared" si="144"/>
        <v>D.LX.10_13T.1200102</v>
      </c>
      <c r="BW409" s="32" t="s">
        <v>502</v>
      </c>
      <c r="BX409" s="32" t="s">
        <v>391</v>
      </c>
      <c r="BY409" s="32" t="s">
        <v>715</v>
      </c>
      <c r="BZ409" s="32">
        <v>1200102</v>
      </c>
      <c r="CA409" s="32">
        <v>1486</v>
      </c>
      <c r="CB409" s="257"/>
      <c r="CC409" s="260"/>
      <c r="CD409" s="257"/>
      <c r="CE409" s="257"/>
      <c r="DQ409" s="33"/>
      <c r="DR409" s="32"/>
      <c r="DS409" s="32"/>
      <c r="DT409" s="32"/>
      <c r="DU409" s="19"/>
      <c r="EJ409" s="32"/>
      <c r="EK409" s="34"/>
      <c r="EL409" s="32"/>
    </row>
    <row r="410" spans="74:142" x14ac:dyDescent="0.25">
      <c r="BV410" s="255" t="str">
        <f t="shared" si="144"/>
        <v>D.LX.10_14T.1200102</v>
      </c>
      <c r="BW410" s="32" t="s">
        <v>502</v>
      </c>
      <c r="BX410" s="32" t="s">
        <v>391</v>
      </c>
      <c r="BY410" s="32" t="s">
        <v>718</v>
      </c>
      <c r="BZ410" s="32">
        <v>1200102</v>
      </c>
      <c r="CA410" s="32">
        <v>1612</v>
      </c>
      <c r="CB410" s="257"/>
      <c r="CC410" s="260"/>
      <c r="CD410" s="257"/>
      <c r="CE410" s="257"/>
      <c r="DQ410" s="33"/>
      <c r="DR410" s="32"/>
      <c r="DS410" s="32"/>
      <c r="DT410" s="32"/>
      <c r="DU410" s="19"/>
      <c r="EJ410" s="32"/>
      <c r="EK410" s="34"/>
      <c r="EL410" s="32"/>
    </row>
    <row r="411" spans="74:142" x14ac:dyDescent="0.25">
      <c r="BV411" s="255" t="str">
        <f t="shared" si="144"/>
        <v>D.LX.11_12T.1200102</v>
      </c>
      <c r="BW411" s="32" t="s">
        <v>502</v>
      </c>
      <c r="BX411" s="32" t="s">
        <v>391</v>
      </c>
      <c r="BY411" s="32" t="s">
        <v>714</v>
      </c>
      <c r="BZ411" s="32">
        <v>1200102</v>
      </c>
      <c r="CA411" s="32">
        <v>1475</v>
      </c>
      <c r="CB411" s="257"/>
      <c r="CC411" s="260"/>
      <c r="CD411" s="257"/>
      <c r="CE411" s="257"/>
      <c r="DQ411" s="33"/>
      <c r="DR411" s="32"/>
      <c r="DS411" s="32"/>
      <c r="DT411" s="32"/>
      <c r="DU411" s="19"/>
      <c r="EJ411" s="32"/>
      <c r="EK411" s="34"/>
      <c r="EL411" s="32"/>
    </row>
    <row r="412" spans="74:142" x14ac:dyDescent="0.25">
      <c r="BV412" s="255" t="str">
        <f t="shared" si="144"/>
        <v>D.LX.11_13T.1200102</v>
      </c>
      <c r="BW412" s="32" t="s">
        <v>502</v>
      </c>
      <c r="BX412" s="32" t="s">
        <v>391</v>
      </c>
      <c r="BY412" s="32" t="s">
        <v>716</v>
      </c>
      <c r="BZ412" s="32">
        <v>1200102</v>
      </c>
      <c r="CA412" s="32">
        <v>1486</v>
      </c>
      <c r="CB412" s="257"/>
      <c r="CC412" s="260"/>
      <c r="CD412" s="257"/>
      <c r="CE412" s="257"/>
      <c r="DQ412" s="33"/>
      <c r="DR412" s="32"/>
      <c r="DS412" s="32"/>
      <c r="DT412" s="32"/>
      <c r="DU412" s="19"/>
      <c r="EJ412" s="32"/>
      <c r="EK412" s="34"/>
      <c r="EL412" s="32"/>
    </row>
    <row r="413" spans="74:142" x14ac:dyDescent="0.25">
      <c r="BV413" s="255" t="str">
        <f t="shared" si="144"/>
        <v>D.LX.11_14T.1200102</v>
      </c>
      <c r="BW413" s="32" t="s">
        <v>502</v>
      </c>
      <c r="BX413" s="32" t="s">
        <v>391</v>
      </c>
      <c r="BY413" s="32" t="s">
        <v>719</v>
      </c>
      <c r="BZ413" s="32">
        <v>1200102</v>
      </c>
      <c r="CA413" s="32">
        <v>1612</v>
      </c>
      <c r="CB413" s="257"/>
      <c r="CC413" s="260"/>
      <c r="CD413" s="257"/>
      <c r="CE413" s="257"/>
      <c r="DQ413" s="33"/>
      <c r="DR413" s="32"/>
      <c r="DS413" s="32"/>
      <c r="DT413" s="32"/>
      <c r="DU413" s="19"/>
      <c r="EJ413" s="32"/>
      <c r="EK413" s="34"/>
      <c r="EL413" s="32"/>
    </row>
    <row r="414" spans="74:142" x14ac:dyDescent="0.25">
      <c r="BV414" s="255" t="str">
        <f t="shared" si="144"/>
        <v>D.LX.12_13T.1200102</v>
      </c>
      <c r="BW414" s="32" t="s">
        <v>502</v>
      </c>
      <c r="BX414" s="32" t="s">
        <v>391</v>
      </c>
      <c r="BY414" s="32" t="s">
        <v>717</v>
      </c>
      <c r="BZ414" s="32">
        <v>1200102</v>
      </c>
      <c r="CA414" s="32">
        <v>1486</v>
      </c>
      <c r="CB414" s="257"/>
      <c r="CC414" s="260"/>
      <c r="CD414" s="257"/>
      <c r="CE414" s="257"/>
      <c r="DQ414" s="33"/>
      <c r="DR414" s="32"/>
      <c r="DS414" s="32"/>
      <c r="DT414" s="32"/>
      <c r="DU414" s="19"/>
      <c r="EJ414" s="32"/>
      <c r="EK414" s="34"/>
      <c r="EL414" s="32"/>
    </row>
    <row r="415" spans="74:142" x14ac:dyDescent="0.25">
      <c r="BV415" s="255" t="str">
        <f t="shared" si="144"/>
        <v>D.LX.12_14T.1200102</v>
      </c>
      <c r="BW415" s="32" t="s">
        <v>502</v>
      </c>
      <c r="BX415" s="32" t="s">
        <v>391</v>
      </c>
      <c r="BY415" s="32" t="s">
        <v>720</v>
      </c>
      <c r="BZ415" s="32">
        <v>1200102</v>
      </c>
      <c r="CA415" s="32">
        <v>1612</v>
      </c>
      <c r="CB415" s="257"/>
      <c r="CC415" s="260"/>
      <c r="CD415" s="257"/>
      <c r="CE415" s="257"/>
      <c r="DQ415" s="33"/>
      <c r="DR415" s="32"/>
      <c r="DS415" s="32"/>
      <c r="DT415" s="32"/>
      <c r="DU415" s="19"/>
      <c r="EJ415" s="32"/>
      <c r="EK415" s="34"/>
      <c r="EL415" s="32"/>
    </row>
    <row r="416" spans="74:142" x14ac:dyDescent="0.25">
      <c r="BV416" s="255" t="str">
        <f t="shared" si="144"/>
        <v>D.LX.12_15T.1200102</v>
      </c>
      <c r="BW416" s="32" t="s">
        <v>502</v>
      </c>
      <c r="BX416" s="32" t="s">
        <v>391</v>
      </c>
      <c r="BY416" s="32" t="s">
        <v>723</v>
      </c>
      <c r="BZ416" s="32">
        <v>1200102</v>
      </c>
      <c r="CA416" s="32">
        <v>1675</v>
      </c>
      <c r="CB416" s="257"/>
      <c r="CC416" s="260"/>
      <c r="CD416" s="257"/>
      <c r="CE416" s="257"/>
      <c r="DQ416" s="33"/>
      <c r="DR416" s="32"/>
      <c r="DS416" s="32"/>
      <c r="DT416" s="32"/>
      <c r="DU416" s="19"/>
      <c r="EJ416" s="32"/>
      <c r="EK416" s="34"/>
      <c r="EL416" s="32"/>
    </row>
    <row r="417" spans="73:142" x14ac:dyDescent="0.25">
      <c r="BV417" s="255" t="str">
        <f t="shared" si="144"/>
        <v>D.LX.13_14T.1200102</v>
      </c>
      <c r="BW417" s="32" t="s">
        <v>502</v>
      </c>
      <c r="BX417" s="32" t="s">
        <v>391</v>
      </c>
      <c r="BY417" s="32" t="s">
        <v>721</v>
      </c>
      <c r="BZ417" s="32">
        <v>1200102</v>
      </c>
      <c r="CA417" s="32">
        <v>1612</v>
      </c>
      <c r="CB417" s="257"/>
      <c r="CC417" s="260"/>
      <c r="CD417" s="257"/>
      <c r="CE417" s="257"/>
      <c r="DQ417" s="33"/>
      <c r="DR417" s="32"/>
      <c r="DS417" s="32"/>
      <c r="DT417" s="33"/>
      <c r="DU417" s="19"/>
      <c r="EJ417" s="32"/>
      <c r="EK417" s="34"/>
      <c r="EL417" s="32"/>
    </row>
    <row r="418" spans="73:142" x14ac:dyDescent="0.25">
      <c r="BV418" s="255" t="str">
        <f t="shared" si="144"/>
        <v>D.LX.13_15T.1200102</v>
      </c>
      <c r="BW418" s="32" t="s">
        <v>502</v>
      </c>
      <c r="BX418" s="32" t="s">
        <v>391</v>
      </c>
      <c r="BY418" s="32" t="s">
        <v>724</v>
      </c>
      <c r="BZ418" s="32">
        <v>1200102</v>
      </c>
      <c r="CA418" s="32">
        <v>1675</v>
      </c>
      <c r="CB418" s="257"/>
      <c r="CC418" s="260"/>
      <c r="CD418" s="257"/>
      <c r="CE418" s="257"/>
      <c r="DQ418" s="33"/>
      <c r="DR418" s="32"/>
      <c r="DS418" s="32"/>
      <c r="DT418" s="32"/>
      <c r="DU418" s="19"/>
      <c r="EJ418" s="32"/>
      <c r="EK418" s="34"/>
      <c r="EL418" s="32"/>
    </row>
    <row r="419" spans="73:142" x14ac:dyDescent="0.25">
      <c r="BV419" s="255" t="str">
        <f t="shared" si="144"/>
        <v>D.LX.13_16T.1200102</v>
      </c>
      <c r="BW419" s="32" t="s">
        <v>502</v>
      </c>
      <c r="BX419" s="32" t="s">
        <v>391</v>
      </c>
      <c r="BY419" s="32" t="s">
        <v>726</v>
      </c>
      <c r="BZ419" s="32">
        <v>1200102</v>
      </c>
      <c r="CA419" s="32">
        <v>1754</v>
      </c>
      <c r="CB419" s="257"/>
      <c r="CC419" s="260"/>
      <c r="CD419" s="257"/>
      <c r="CE419" s="257"/>
      <c r="DQ419" s="33"/>
      <c r="DR419" s="32"/>
      <c r="DS419" s="32"/>
      <c r="DT419" s="32"/>
      <c r="DU419" s="19"/>
      <c r="EJ419" s="32"/>
      <c r="EK419" s="34"/>
      <c r="EL419" s="32"/>
    </row>
    <row r="420" spans="73:142" x14ac:dyDescent="0.25">
      <c r="BV420" s="255" t="str">
        <f t="shared" si="144"/>
        <v>D.LX.14_14T.1200102</v>
      </c>
      <c r="BW420" s="32" t="s">
        <v>502</v>
      </c>
      <c r="BX420" s="32" t="s">
        <v>391</v>
      </c>
      <c r="BY420" s="32" t="s">
        <v>722</v>
      </c>
      <c r="BZ420" s="32">
        <v>1200102</v>
      </c>
      <c r="CA420" s="32">
        <v>1612</v>
      </c>
      <c r="CB420" s="257"/>
      <c r="CC420" s="260"/>
      <c r="CD420" s="257"/>
      <c r="CE420" s="257"/>
      <c r="DQ420" s="33"/>
      <c r="DR420" s="32"/>
      <c r="DS420" s="32"/>
      <c r="DT420" s="32"/>
      <c r="DU420" s="19"/>
      <c r="EJ420" s="32"/>
      <c r="EK420" s="34"/>
      <c r="EL420" s="32"/>
    </row>
    <row r="421" spans="73:142" x14ac:dyDescent="0.25">
      <c r="BU421" s="234" t="s">
        <v>1213</v>
      </c>
      <c r="BV421" s="255" t="str">
        <f t="shared" si="144"/>
        <v>D.LX.14_15T.1200102</v>
      </c>
      <c r="BW421" s="32" t="s">
        <v>502</v>
      </c>
      <c r="BX421" s="32" t="s">
        <v>391</v>
      </c>
      <c r="BY421" s="32" t="s">
        <v>725</v>
      </c>
      <c r="BZ421" s="32">
        <v>1200102</v>
      </c>
      <c r="CA421" s="32">
        <v>1675</v>
      </c>
      <c r="CB421" s="257"/>
      <c r="CC421" s="260"/>
      <c r="CD421" s="257"/>
      <c r="CE421" s="257"/>
      <c r="DQ421" s="33"/>
      <c r="DR421" s="32"/>
      <c r="DS421" s="32"/>
      <c r="DT421" s="32"/>
      <c r="DU421" s="19"/>
      <c r="EJ421" s="32"/>
      <c r="EK421" s="34"/>
      <c r="EL421" s="32"/>
    </row>
    <row r="422" spans="73:142" x14ac:dyDescent="0.25">
      <c r="BV422" s="255" t="str">
        <f t="shared" si="144"/>
        <v>D.LX.14_16T.1200102</v>
      </c>
      <c r="BW422" s="32" t="s">
        <v>502</v>
      </c>
      <c r="BX422" s="32" t="s">
        <v>391</v>
      </c>
      <c r="BY422" s="32" t="s">
        <v>727</v>
      </c>
      <c r="BZ422" s="32">
        <v>1200102</v>
      </c>
      <c r="CA422" s="32">
        <v>1754</v>
      </c>
      <c r="CB422" s="257"/>
      <c r="CC422" s="260"/>
      <c r="CD422" s="257"/>
      <c r="CE422" s="257"/>
      <c r="DQ422" s="33"/>
      <c r="DR422" s="32"/>
      <c r="DS422" s="32"/>
      <c r="DT422" s="33"/>
      <c r="DU422" s="19"/>
      <c r="EJ422" s="32"/>
      <c r="EK422" s="34"/>
      <c r="EL422" s="32"/>
    </row>
    <row r="423" spans="73:142" x14ac:dyDescent="0.25">
      <c r="BV423" s="255" t="str">
        <f t="shared" si="144"/>
        <v>D.LX.15_16T.1200102</v>
      </c>
      <c r="BW423" s="32" t="s">
        <v>502</v>
      </c>
      <c r="BX423" s="32" t="s">
        <v>391</v>
      </c>
      <c r="BY423" s="32" t="s">
        <v>728</v>
      </c>
      <c r="BZ423" s="32">
        <v>1200102</v>
      </c>
      <c r="CA423" s="32">
        <v>1754</v>
      </c>
      <c r="CB423" s="257"/>
      <c r="CC423" s="260"/>
      <c r="CD423" s="257"/>
      <c r="CE423" s="257"/>
      <c r="DQ423" s="33"/>
      <c r="DR423" s="32"/>
      <c r="DS423" s="32"/>
      <c r="DT423" s="32"/>
      <c r="DU423" s="19"/>
      <c r="EJ423" s="32"/>
      <c r="EK423" s="34"/>
      <c r="EL423" s="32"/>
    </row>
    <row r="424" spans="73:142" x14ac:dyDescent="0.25">
      <c r="BV424" s="255" t="str">
        <f t="shared" si="144"/>
        <v>D.LX.16_16T.1200102</v>
      </c>
      <c r="BW424" s="32" t="s">
        <v>502</v>
      </c>
      <c r="BX424" s="32" t="s">
        <v>391</v>
      </c>
      <c r="BY424" s="32" t="s">
        <v>729</v>
      </c>
      <c r="BZ424" s="32">
        <v>1200102</v>
      </c>
      <c r="CA424" s="32">
        <v>1754</v>
      </c>
      <c r="CB424" s="257"/>
      <c r="CC424" s="260"/>
      <c r="CD424" s="257"/>
      <c r="CE424" s="257"/>
      <c r="DQ424" s="33"/>
      <c r="DR424" s="32"/>
      <c r="DS424" s="32"/>
      <c r="DT424" s="32"/>
      <c r="DU424" s="19"/>
      <c r="EJ424" s="32"/>
      <c r="EK424" s="32"/>
      <c r="EL424" s="32"/>
    </row>
    <row r="425" spans="73:142" x14ac:dyDescent="0.25">
      <c r="BV425" s="255" t="str">
        <f t="shared" si="144"/>
        <v>D.LX.7_10T.1200102</v>
      </c>
      <c r="BW425" s="32" t="s">
        <v>502</v>
      </c>
      <c r="BX425" s="32" t="s">
        <v>391</v>
      </c>
      <c r="BY425" s="32" t="s">
        <v>668</v>
      </c>
      <c r="BZ425" s="32">
        <v>1200102</v>
      </c>
      <c r="CA425" s="32">
        <v>1591</v>
      </c>
      <c r="CB425" s="257"/>
      <c r="CC425" s="260"/>
      <c r="CD425" s="257"/>
      <c r="CE425" s="257"/>
      <c r="DQ425" s="33"/>
      <c r="DR425" s="32"/>
      <c r="DS425" s="32"/>
      <c r="DT425" s="32"/>
      <c r="DU425" s="19"/>
      <c r="EJ425" s="32"/>
      <c r="EK425" s="32"/>
      <c r="EL425" s="32"/>
    </row>
    <row r="426" spans="73:142" x14ac:dyDescent="0.25">
      <c r="BV426" s="255" t="str">
        <f t="shared" si="144"/>
        <v>D.LX.7H_10T.1200102</v>
      </c>
      <c r="BW426" s="32" t="s">
        <v>502</v>
      </c>
      <c r="BX426" s="32" t="s">
        <v>391</v>
      </c>
      <c r="BY426" s="32" t="s">
        <v>674</v>
      </c>
      <c r="BZ426" s="32">
        <v>1200102</v>
      </c>
      <c r="CA426" s="32">
        <v>1591</v>
      </c>
      <c r="CB426" s="257"/>
      <c r="CC426" s="260"/>
      <c r="CD426" s="257"/>
      <c r="CE426" s="257"/>
      <c r="DQ426" s="33"/>
      <c r="DR426" s="32"/>
      <c r="DS426" s="32"/>
      <c r="DT426" s="32"/>
      <c r="DU426" s="19"/>
      <c r="EJ426" s="32"/>
      <c r="EK426" s="32"/>
      <c r="EL426" s="32"/>
    </row>
    <row r="427" spans="73:142" x14ac:dyDescent="0.25">
      <c r="BV427" s="255" t="str">
        <f t="shared" si="144"/>
        <v>D.LX.8_10T.1200102</v>
      </c>
      <c r="BW427" s="32" t="s">
        <v>502</v>
      </c>
      <c r="BX427" s="32" t="s">
        <v>391</v>
      </c>
      <c r="BY427" s="32" t="s">
        <v>669</v>
      </c>
      <c r="BZ427" s="32">
        <v>1200102</v>
      </c>
      <c r="CA427" s="32">
        <v>1591</v>
      </c>
      <c r="CB427" s="257"/>
      <c r="CC427" s="260"/>
      <c r="CD427" s="257"/>
      <c r="CE427" s="257"/>
      <c r="DQ427" s="33"/>
      <c r="DR427" s="32"/>
      <c r="DS427" s="32"/>
      <c r="DT427" s="32"/>
      <c r="DU427" s="19"/>
      <c r="EJ427" s="32"/>
      <c r="EK427" s="32"/>
      <c r="EL427" s="32"/>
    </row>
    <row r="428" spans="73:142" x14ac:dyDescent="0.25">
      <c r="BV428" s="255" t="str">
        <f t="shared" si="144"/>
        <v>D.LX.8_12T.1200102</v>
      </c>
      <c r="BW428" s="32" t="s">
        <v>502</v>
      </c>
      <c r="BX428" s="32" t="s">
        <v>391</v>
      </c>
      <c r="BY428" s="32" t="s">
        <v>671</v>
      </c>
      <c r="BZ428" s="32">
        <v>1200102</v>
      </c>
      <c r="CA428" s="32">
        <v>1475</v>
      </c>
      <c r="CB428" s="257"/>
      <c r="CC428" s="278"/>
      <c r="CD428" s="277"/>
      <c r="CE428" s="277"/>
      <c r="DQ428" s="33"/>
      <c r="DR428" s="32"/>
      <c r="DS428" s="32"/>
      <c r="DT428" s="32"/>
      <c r="DU428" s="19"/>
      <c r="EJ428" s="32"/>
      <c r="EK428" s="32"/>
      <c r="EL428" s="32"/>
    </row>
    <row r="429" spans="73:142" x14ac:dyDescent="0.25">
      <c r="BV429" s="255" t="str">
        <f t="shared" si="144"/>
        <v>D.LX.9_10T.1200102</v>
      </c>
      <c r="BW429" s="32" t="s">
        <v>502</v>
      </c>
      <c r="BX429" s="32" t="s">
        <v>391</v>
      </c>
      <c r="BY429" s="32" t="s">
        <v>670</v>
      </c>
      <c r="BZ429" s="32">
        <v>1200102</v>
      </c>
      <c r="CA429" s="32">
        <v>1591</v>
      </c>
      <c r="CB429" s="257"/>
      <c r="CC429" s="278"/>
      <c r="CD429" s="277"/>
      <c r="CE429" s="277"/>
      <c r="DQ429" s="33"/>
      <c r="DR429" s="32"/>
      <c r="DS429" s="32"/>
      <c r="DT429" s="32"/>
      <c r="DU429" s="19"/>
      <c r="EJ429" s="32"/>
      <c r="EK429" s="32"/>
      <c r="EL429" s="32"/>
    </row>
    <row r="430" spans="73:142" x14ac:dyDescent="0.25">
      <c r="BV430" s="255" t="str">
        <f t="shared" si="144"/>
        <v>D.LX.9_12T.1200102</v>
      </c>
      <c r="BW430" s="32" t="s">
        <v>502</v>
      </c>
      <c r="BX430" s="32" t="s">
        <v>391</v>
      </c>
      <c r="BY430" s="32" t="s">
        <v>672</v>
      </c>
      <c r="BZ430" s="32">
        <v>1200102</v>
      </c>
      <c r="CA430" s="32">
        <v>1475</v>
      </c>
      <c r="CB430" s="277"/>
      <c r="CC430" s="278"/>
      <c r="CD430" s="277"/>
      <c r="CE430" s="277"/>
      <c r="DQ430" s="33"/>
      <c r="DR430" s="32"/>
      <c r="DS430" s="32"/>
      <c r="DT430" s="34"/>
      <c r="DU430" s="19"/>
      <c r="EJ430" s="32"/>
      <c r="EK430" s="32"/>
      <c r="EL430" s="32"/>
    </row>
    <row r="431" spans="73:142" x14ac:dyDescent="0.25">
      <c r="BU431" s="234" t="s">
        <v>1214</v>
      </c>
      <c r="BV431" s="255" t="str">
        <f t="shared" si="144"/>
        <v>D.LX.9_13T.1200102</v>
      </c>
      <c r="BW431" s="32" t="s">
        <v>502</v>
      </c>
      <c r="BX431" s="32" t="s">
        <v>391</v>
      </c>
      <c r="BY431" s="32" t="s">
        <v>673</v>
      </c>
      <c r="BZ431" s="32">
        <v>1200102</v>
      </c>
      <c r="CA431" s="32">
        <v>1486</v>
      </c>
      <c r="CB431" s="277"/>
      <c r="CC431" s="278"/>
      <c r="CD431" s="277"/>
      <c r="CE431" s="277"/>
      <c r="DQ431" s="33"/>
      <c r="DR431" s="32"/>
      <c r="DS431" s="32"/>
      <c r="DT431" s="32"/>
      <c r="DU431" s="19"/>
      <c r="EJ431" s="32"/>
      <c r="EK431" s="32"/>
      <c r="EL431" s="32"/>
    </row>
    <row r="432" spans="73:142" x14ac:dyDescent="0.25">
      <c r="BU432" s="234" t="s">
        <v>1214</v>
      </c>
      <c r="BV432" s="255" t="str">
        <f t="shared" si="144"/>
        <v>D.LX.9_14T.1200102</v>
      </c>
      <c r="BW432" s="32" t="s">
        <v>502</v>
      </c>
      <c r="BX432" s="32" t="s">
        <v>391</v>
      </c>
      <c r="BY432" s="32" t="s">
        <v>737</v>
      </c>
      <c r="BZ432" s="32">
        <v>1200102</v>
      </c>
      <c r="CA432" s="32">
        <v>1612</v>
      </c>
      <c r="CB432" s="277"/>
      <c r="CC432" s="278"/>
      <c r="CD432" s="277"/>
      <c r="CE432" s="277"/>
      <c r="DQ432" s="33"/>
      <c r="DR432" s="32"/>
      <c r="DS432" s="32"/>
      <c r="DT432" s="32"/>
      <c r="DU432" s="19"/>
      <c r="EJ432" s="32"/>
      <c r="EK432" s="32"/>
      <c r="EL432" s="32"/>
    </row>
    <row r="433" spans="74:142" x14ac:dyDescent="0.25">
      <c r="BV433" s="255" t="str">
        <f t="shared" si="144"/>
        <v>F.L8.12_18B.1200102</v>
      </c>
      <c r="BW433" s="32" t="s">
        <v>114</v>
      </c>
      <c r="BX433" s="32" t="s">
        <v>730</v>
      </c>
      <c r="BY433" s="32" t="s">
        <v>683</v>
      </c>
      <c r="BZ433" s="32">
        <v>1200102</v>
      </c>
      <c r="CA433" s="32">
        <v>1602</v>
      </c>
      <c r="CB433" s="277"/>
      <c r="CC433" s="278"/>
      <c r="CD433" s="277"/>
      <c r="CE433" s="277"/>
      <c r="DQ433" s="33"/>
      <c r="DR433" s="32"/>
      <c r="DS433" s="32"/>
      <c r="DT433" s="34"/>
      <c r="DU433" s="19"/>
      <c r="EJ433" s="32"/>
      <c r="EK433" s="32"/>
      <c r="EL433" s="32"/>
    </row>
    <row r="434" spans="74:142" x14ac:dyDescent="0.25">
      <c r="BV434" s="255" t="str">
        <f t="shared" si="144"/>
        <v>F.L8.12_20B.1200102</v>
      </c>
      <c r="BW434" s="32" t="s">
        <v>114</v>
      </c>
      <c r="BX434" s="32" t="s">
        <v>730</v>
      </c>
      <c r="BY434" s="32" t="s">
        <v>686</v>
      </c>
      <c r="BZ434" s="32">
        <v>1200102</v>
      </c>
      <c r="CA434" s="32">
        <v>1648</v>
      </c>
      <c r="CB434" s="277"/>
      <c r="CC434" s="278"/>
      <c r="CD434" s="277"/>
      <c r="CE434" s="277"/>
      <c r="DQ434" s="33"/>
      <c r="DR434" s="32"/>
      <c r="DS434" s="32"/>
      <c r="DT434" s="32"/>
      <c r="DU434" s="19"/>
      <c r="EJ434" s="32"/>
      <c r="EK434" s="32"/>
      <c r="EL434" s="32"/>
    </row>
    <row r="435" spans="74:142" x14ac:dyDescent="0.25">
      <c r="BV435" s="255" t="str">
        <f t="shared" si="144"/>
        <v>F.L8.12_22B.1200102</v>
      </c>
      <c r="BW435" s="32" t="s">
        <v>114</v>
      </c>
      <c r="BX435" s="32" t="s">
        <v>730</v>
      </c>
      <c r="BY435" s="32" t="s">
        <v>690</v>
      </c>
      <c r="BZ435" s="32">
        <v>1200102</v>
      </c>
      <c r="CA435" s="32">
        <v>1728</v>
      </c>
      <c r="CB435" s="277"/>
      <c r="CC435" s="278"/>
      <c r="CD435" s="277"/>
      <c r="CE435" s="277"/>
      <c r="DQ435" s="36"/>
      <c r="DR435" s="32"/>
      <c r="DS435" s="32"/>
      <c r="DT435" s="32"/>
      <c r="DU435" s="19"/>
      <c r="EJ435" s="32"/>
      <c r="EK435" s="32"/>
      <c r="EL435" s="32"/>
    </row>
    <row r="436" spans="74:142" x14ac:dyDescent="0.25">
      <c r="BV436" s="255" t="str">
        <f t="shared" si="144"/>
        <v>F.L8.12_24B.1200102</v>
      </c>
      <c r="BW436" s="32" t="s">
        <v>114</v>
      </c>
      <c r="BX436" s="32" t="s">
        <v>730</v>
      </c>
      <c r="BY436" s="32" t="s">
        <v>695</v>
      </c>
      <c r="BZ436" s="32">
        <v>1200102</v>
      </c>
      <c r="CA436" s="32">
        <v>1794</v>
      </c>
      <c r="CB436" s="277"/>
      <c r="CC436" s="278"/>
      <c r="CD436" s="277"/>
      <c r="CE436" s="277"/>
      <c r="DQ436" s="33"/>
      <c r="DR436" s="32"/>
      <c r="DS436" s="32"/>
      <c r="DT436" s="32"/>
      <c r="DU436" s="19"/>
      <c r="EJ436" s="32"/>
      <c r="EK436" s="32"/>
      <c r="EL436" s="32"/>
    </row>
    <row r="437" spans="74:142" x14ac:dyDescent="0.25">
      <c r="BV437" s="255" t="str">
        <f t="shared" si="144"/>
        <v>F.L8.12_26B.1200102</v>
      </c>
      <c r="BW437" s="32" t="s">
        <v>114</v>
      </c>
      <c r="BX437" s="32" t="s">
        <v>730</v>
      </c>
      <c r="BY437" s="32" t="s">
        <v>700</v>
      </c>
      <c r="BZ437" s="32">
        <v>1200102</v>
      </c>
      <c r="CA437" s="32">
        <v>1809</v>
      </c>
      <c r="CB437" s="277"/>
      <c r="CC437" s="278"/>
      <c r="CD437" s="277"/>
      <c r="CE437" s="277"/>
      <c r="DQ437" s="33"/>
      <c r="DR437" s="32"/>
      <c r="DS437" s="32"/>
      <c r="DT437" s="34"/>
      <c r="DU437" s="19"/>
      <c r="EJ437" s="32"/>
      <c r="EK437" s="32"/>
      <c r="EL437" s="32"/>
    </row>
    <row r="438" spans="74:142" x14ac:dyDescent="0.25">
      <c r="BV438" s="255" t="str">
        <f t="shared" si="144"/>
        <v>F.L8.14_18B.1200102</v>
      </c>
      <c r="BW438" s="32" t="s">
        <v>114</v>
      </c>
      <c r="BX438" s="32" t="s">
        <v>730</v>
      </c>
      <c r="BY438" s="32" t="s">
        <v>684</v>
      </c>
      <c r="BZ438" s="32">
        <v>1200102</v>
      </c>
      <c r="CA438" s="32">
        <v>1602</v>
      </c>
      <c r="CB438" s="277"/>
      <c r="CC438" s="278"/>
      <c r="CD438" s="277"/>
      <c r="CE438" s="277"/>
      <c r="DQ438" s="36"/>
      <c r="DR438" s="32"/>
      <c r="DS438" s="32"/>
      <c r="DT438" s="34"/>
      <c r="DU438" s="19"/>
      <c r="EJ438" s="32"/>
      <c r="EK438" s="32"/>
      <c r="EL438" s="32"/>
    </row>
    <row r="439" spans="74:142" x14ac:dyDescent="0.25">
      <c r="BV439" s="255" t="str">
        <f t="shared" si="144"/>
        <v>F.L8.14_20B.1200102</v>
      </c>
      <c r="BW439" s="32" t="s">
        <v>114</v>
      </c>
      <c r="BX439" s="32" t="s">
        <v>730</v>
      </c>
      <c r="BY439" s="32" t="s">
        <v>687</v>
      </c>
      <c r="BZ439" s="32">
        <v>1200102</v>
      </c>
      <c r="CA439" s="32">
        <v>1648</v>
      </c>
      <c r="CB439" s="277"/>
      <c r="CC439" s="278"/>
      <c r="CD439" s="277"/>
      <c r="CE439" s="277"/>
      <c r="DQ439" s="33"/>
      <c r="DR439" s="32"/>
      <c r="DS439" s="32"/>
      <c r="DT439" s="32"/>
      <c r="DU439" s="19"/>
      <c r="EJ439" s="32"/>
      <c r="EK439" s="32"/>
      <c r="EL439" s="32"/>
    </row>
    <row r="440" spans="74:142" x14ac:dyDescent="0.25">
      <c r="BV440" s="255" t="str">
        <f t="shared" si="144"/>
        <v>F.L8.14_22B.1200102</v>
      </c>
      <c r="BW440" s="32" t="s">
        <v>114</v>
      </c>
      <c r="BX440" s="32" t="s">
        <v>730</v>
      </c>
      <c r="BY440" s="32" t="s">
        <v>691</v>
      </c>
      <c r="BZ440" s="32">
        <v>1200102</v>
      </c>
      <c r="CA440" s="32">
        <v>1728</v>
      </c>
      <c r="CB440" s="277"/>
      <c r="CC440" s="278"/>
      <c r="CD440" s="277"/>
      <c r="CE440" s="277"/>
      <c r="DQ440" s="33"/>
      <c r="DR440" s="32"/>
      <c r="DS440" s="32"/>
      <c r="DT440" s="32"/>
      <c r="DU440" s="19"/>
      <c r="EJ440" s="32"/>
      <c r="EK440" s="32"/>
      <c r="EL440" s="32"/>
    </row>
    <row r="441" spans="74:142" x14ac:dyDescent="0.25">
      <c r="BV441" s="255" t="str">
        <f t="shared" si="144"/>
        <v>F.L8.14_24B.1200102</v>
      </c>
      <c r="BW441" s="32" t="s">
        <v>114</v>
      </c>
      <c r="BX441" s="32" t="s">
        <v>730</v>
      </c>
      <c r="BY441" s="32" t="s">
        <v>696</v>
      </c>
      <c r="BZ441" s="32">
        <v>1200102</v>
      </c>
      <c r="CA441" s="32">
        <v>1794</v>
      </c>
      <c r="CB441" s="277"/>
      <c r="CC441" s="278"/>
      <c r="CD441" s="277"/>
      <c r="CE441" s="277"/>
      <c r="DQ441" s="33"/>
      <c r="DR441" s="32"/>
      <c r="DS441" s="32"/>
      <c r="DT441" s="32"/>
      <c r="DU441" s="19"/>
      <c r="EJ441" s="32"/>
      <c r="EK441" s="32"/>
      <c r="EL441" s="32"/>
    </row>
    <row r="442" spans="74:142" x14ac:dyDescent="0.25">
      <c r="BV442" s="255" t="str">
        <f t="shared" si="144"/>
        <v>F.L8.14_26B.1200102</v>
      </c>
      <c r="BW442" s="32" t="s">
        <v>114</v>
      </c>
      <c r="BX442" s="32" t="s">
        <v>730</v>
      </c>
      <c r="BY442" s="32" t="s">
        <v>701</v>
      </c>
      <c r="BZ442" s="32">
        <v>1200102</v>
      </c>
      <c r="CA442" s="32">
        <v>1809</v>
      </c>
      <c r="CB442" s="277"/>
      <c r="CC442" s="278"/>
      <c r="CD442" s="277"/>
      <c r="CE442" s="277"/>
      <c r="DQ442" s="36"/>
      <c r="DR442" s="32"/>
      <c r="DS442" s="32"/>
      <c r="DT442" s="32"/>
      <c r="DU442" s="19"/>
      <c r="EJ442" s="32"/>
      <c r="EK442" s="32"/>
      <c r="EL442" s="32"/>
    </row>
    <row r="443" spans="74:142" x14ac:dyDescent="0.25">
      <c r="BV443" s="255" t="str">
        <f t="shared" si="144"/>
        <v>F.L8.16_18B.1200102</v>
      </c>
      <c r="BW443" s="32" t="s">
        <v>114</v>
      </c>
      <c r="BX443" s="32" t="s">
        <v>730</v>
      </c>
      <c r="BY443" s="32" t="s">
        <v>685</v>
      </c>
      <c r="BZ443" s="32">
        <v>1200102</v>
      </c>
      <c r="CA443" s="38">
        <v>1602</v>
      </c>
      <c r="CB443" s="277"/>
      <c r="CC443" s="278"/>
      <c r="CD443" s="277"/>
      <c r="CE443" s="277"/>
      <c r="DQ443" s="36"/>
      <c r="DR443" s="32"/>
      <c r="DS443" s="32"/>
      <c r="DT443" s="32"/>
      <c r="DU443" s="19"/>
      <c r="EJ443" s="32"/>
      <c r="EK443" s="32"/>
      <c r="EL443" s="32"/>
    </row>
    <row r="444" spans="74:142" x14ac:dyDescent="0.25">
      <c r="BV444" s="255" t="str">
        <f t="shared" si="144"/>
        <v>F.L8.16_20B.1200102</v>
      </c>
      <c r="BW444" s="32" t="s">
        <v>114</v>
      </c>
      <c r="BX444" s="32" t="s">
        <v>730</v>
      </c>
      <c r="BY444" s="32" t="s">
        <v>688</v>
      </c>
      <c r="BZ444" s="32">
        <v>1200102</v>
      </c>
      <c r="CA444" s="38">
        <v>1648</v>
      </c>
      <c r="CB444" s="277"/>
      <c r="CC444" s="278"/>
      <c r="CD444" s="277"/>
      <c r="CE444" s="277"/>
      <c r="DQ444" s="33"/>
      <c r="DR444" s="32"/>
      <c r="DS444" s="32"/>
      <c r="DT444" s="32"/>
      <c r="DU444" s="19"/>
      <c r="EJ444" s="32"/>
      <c r="EK444" s="32"/>
      <c r="EL444" s="32"/>
    </row>
    <row r="445" spans="74:142" x14ac:dyDescent="0.25">
      <c r="BV445" s="255" t="str">
        <f t="shared" si="144"/>
        <v>F.L8.16_22B.1200102</v>
      </c>
      <c r="BW445" s="32" t="s">
        <v>114</v>
      </c>
      <c r="BX445" s="32" t="s">
        <v>730</v>
      </c>
      <c r="BY445" s="32" t="s">
        <v>692</v>
      </c>
      <c r="BZ445" s="32">
        <v>1200102</v>
      </c>
      <c r="CA445" s="38">
        <v>1728</v>
      </c>
      <c r="CB445" s="277"/>
      <c r="CC445" s="278"/>
      <c r="CD445" s="277"/>
      <c r="CE445" s="277"/>
      <c r="DQ445" s="33"/>
      <c r="DR445" s="32"/>
      <c r="DS445" s="32"/>
      <c r="DT445" s="32"/>
      <c r="DU445" s="19"/>
      <c r="EJ445" s="32"/>
      <c r="EK445" s="32"/>
      <c r="EL445" s="32"/>
    </row>
    <row r="446" spans="74:142" x14ac:dyDescent="0.25">
      <c r="BV446" s="255" t="str">
        <f t="shared" si="144"/>
        <v>F.L8.16_24B.1200102</v>
      </c>
      <c r="BW446" s="32" t="s">
        <v>114</v>
      </c>
      <c r="BX446" s="32" t="s">
        <v>730</v>
      </c>
      <c r="BY446" s="32" t="s">
        <v>697</v>
      </c>
      <c r="BZ446" s="32">
        <v>1200102</v>
      </c>
      <c r="CA446" s="32">
        <v>1794</v>
      </c>
      <c r="CB446" s="277"/>
      <c r="CC446" s="278"/>
      <c r="CD446" s="277"/>
      <c r="CE446" s="277"/>
      <c r="DQ446" s="33"/>
      <c r="DR446" s="32"/>
      <c r="DS446" s="32"/>
      <c r="DT446" s="32"/>
      <c r="DU446" s="19"/>
      <c r="EJ446" s="32"/>
      <c r="EK446" s="32"/>
      <c r="EL446" s="32"/>
    </row>
    <row r="447" spans="74:142" x14ac:dyDescent="0.25">
      <c r="BV447" s="255" t="str">
        <f t="shared" si="144"/>
        <v>F.L8.16_26B.1200102</v>
      </c>
      <c r="BW447" s="32" t="s">
        <v>114</v>
      </c>
      <c r="BX447" s="32" t="s">
        <v>730</v>
      </c>
      <c r="BY447" s="32" t="s">
        <v>702</v>
      </c>
      <c r="BZ447" s="32">
        <v>1200102</v>
      </c>
      <c r="CA447" s="32">
        <v>1809</v>
      </c>
      <c r="CB447" s="277"/>
      <c r="CC447" s="278"/>
      <c r="CD447" s="277"/>
      <c r="CE447" s="277"/>
      <c r="DQ447" s="33"/>
      <c r="DR447" s="32"/>
      <c r="DS447" s="32"/>
      <c r="DT447" s="32"/>
      <c r="DU447" s="19"/>
      <c r="EJ447" s="32"/>
      <c r="EK447" s="32"/>
      <c r="EL447" s="32"/>
    </row>
    <row r="448" spans="74:142" x14ac:dyDescent="0.25">
      <c r="BV448" s="255" t="str">
        <f t="shared" si="144"/>
        <v>F.L8.18_20B.1200102</v>
      </c>
      <c r="BW448" s="32" t="s">
        <v>114</v>
      </c>
      <c r="BX448" s="32" t="s">
        <v>730</v>
      </c>
      <c r="BY448" s="32" t="s">
        <v>689</v>
      </c>
      <c r="BZ448" s="32">
        <v>1200102</v>
      </c>
      <c r="CA448" s="32">
        <v>1703</v>
      </c>
      <c r="CB448" s="277"/>
      <c r="CC448" s="278"/>
      <c r="CD448" s="277"/>
      <c r="CE448" s="277"/>
      <c r="DQ448" s="33"/>
      <c r="DR448" s="32"/>
      <c r="DS448" s="32"/>
      <c r="DT448" s="34"/>
      <c r="DU448" s="19"/>
      <c r="EJ448" s="32"/>
      <c r="EK448" s="32"/>
      <c r="EL448" s="32"/>
    </row>
    <row r="449" spans="74:142" x14ac:dyDescent="0.25">
      <c r="BV449" s="255" t="str">
        <f t="shared" si="144"/>
        <v>F.L8.18_22B.1200102</v>
      </c>
      <c r="BW449" s="32" t="s">
        <v>114</v>
      </c>
      <c r="BX449" s="32" t="s">
        <v>730</v>
      </c>
      <c r="BY449" s="32" t="s">
        <v>693</v>
      </c>
      <c r="BZ449" s="32">
        <v>1200102</v>
      </c>
      <c r="CA449" s="32">
        <v>1728</v>
      </c>
      <c r="CB449" s="277"/>
      <c r="CC449" s="278"/>
      <c r="CD449" s="277"/>
      <c r="CE449" s="277"/>
      <c r="DQ449" s="33"/>
      <c r="DR449" s="32"/>
      <c r="DS449" s="32"/>
      <c r="DT449" s="32"/>
      <c r="DU449" s="19"/>
      <c r="EJ449" s="32"/>
      <c r="EK449" s="32"/>
      <c r="EL449" s="32"/>
    </row>
    <row r="450" spans="74:142" x14ac:dyDescent="0.25">
      <c r="BV450" s="255" t="str">
        <f t="shared" si="144"/>
        <v>F.L8.18_24B.1200102</v>
      </c>
      <c r="BW450" s="32" t="s">
        <v>114</v>
      </c>
      <c r="BX450" s="32" t="s">
        <v>730</v>
      </c>
      <c r="BY450" s="32" t="s">
        <v>698</v>
      </c>
      <c r="BZ450" s="32">
        <v>1200102</v>
      </c>
      <c r="CA450" s="32">
        <v>1794</v>
      </c>
    </row>
    <row r="451" spans="74:142" x14ac:dyDescent="0.25">
      <c r="BV451" s="255" t="str">
        <f t="shared" si="144"/>
        <v>F.L8.20_22B.1200102</v>
      </c>
      <c r="BW451" s="32" t="s">
        <v>114</v>
      </c>
      <c r="BX451" s="32" t="s">
        <v>730</v>
      </c>
      <c r="BY451" s="32" t="s">
        <v>694</v>
      </c>
      <c r="BZ451" s="32">
        <v>1200102</v>
      </c>
      <c r="CA451" s="32">
        <v>1728</v>
      </c>
    </row>
    <row r="452" spans="74:142" x14ac:dyDescent="0.25">
      <c r="BV452" s="255" t="str">
        <f t="shared" si="144"/>
        <v>F.L8.20_24B.1200102</v>
      </c>
      <c r="BW452" s="32" t="s">
        <v>114</v>
      </c>
      <c r="BX452" s="32" t="s">
        <v>730</v>
      </c>
      <c r="BY452" s="32" t="s">
        <v>699</v>
      </c>
      <c r="BZ452" s="32">
        <v>1200102</v>
      </c>
      <c r="CA452" s="32">
        <v>1900</v>
      </c>
    </row>
    <row r="453" spans="74:142" x14ac:dyDescent="0.25">
      <c r="BV453" s="255" t="str">
        <f t="shared" si="144"/>
        <v>F.L8.12_14F.1200102</v>
      </c>
      <c r="BW453" s="32" t="s">
        <v>114</v>
      </c>
      <c r="BX453" s="32" t="s">
        <v>730</v>
      </c>
      <c r="BY453" s="32" t="s">
        <v>703</v>
      </c>
      <c r="BZ453" s="32">
        <v>1200102</v>
      </c>
      <c r="CA453" s="32">
        <v>977</v>
      </c>
    </row>
    <row r="454" spans="74:142" x14ac:dyDescent="0.25">
      <c r="BV454" s="255" t="str">
        <f t="shared" si="144"/>
        <v>F.L8.13_14F.1200102</v>
      </c>
      <c r="BW454" s="32" t="s">
        <v>114</v>
      </c>
      <c r="BX454" s="32" t="s">
        <v>730</v>
      </c>
      <c r="BY454" s="32" t="s">
        <v>704</v>
      </c>
      <c r="BZ454" s="32">
        <v>1200102</v>
      </c>
      <c r="CA454" s="32">
        <v>977</v>
      </c>
    </row>
    <row r="455" spans="74:142" x14ac:dyDescent="0.25">
      <c r="BV455" s="255" t="str">
        <f t="shared" si="144"/>
        <v>F.L8.13_15F.1200102</v>
      </c>
      <c r="BW455" s="32" t="s">
        <v>114</v>
      </c>
      <c r="BX455" s="32" t="s">
        <v>730</v>
      </c>
      <c r="BY455" s="32" t="s">
        <v>706</v>
      </c>
      <c r="BZ455" s="32">
        <v>1200102</v>
      </c>
      <c r="CA455" s="32">
        <v>1010</v>
      </c>
    </row>
    <row r="456" spans="74:142" x14ac:dyDescent="0.25">
      <c r="BV456" s="255" t="str">
        <f t="shared" si="144"/>
        <v>F.L8.13_16F.1200102</v>
      </c>
      <c r="BW456" s="32" t="s">
        <v>114</v>
      </c>
      <c r="BX456" s="32" t="s">
        <v>730</v>
      </c>
      <c r="BY456" s="32" t="s">
        <v>708</v>
      </c>
      <c r="BZ456" s="32">
        <v>1200102</v>
      </c>
      <c r="CA456" s="32">
        <v>1010</v>
      </c>
    </row>
    <row r="457" spans="74:142" x14ac:dyDescent="0.25">
      <c r="BV457" s="255" t="str">
        <f t="shared" si="144"/>
        <v>F.L8.14_14F.1200102</v>
      </c>
      <c r="BW457" s="32" t="s">
        <v>114</v>
      </c>
      <c r="BX457" s="32" t="s">
        <v>730</v>
      </c>
      <c r="BY457" s="32" t="s">
        <v>705</v>
      </c>
      <c r="BZ457" s="32">
        <v>1200102</v>
      </c>
      <c r="CA457" s="32">
        <v>977</v>
      </c>
    </row>
    <row r="458" spans="74:142" x14ac:dyDescent="0.25">
      <c r="BV458" s="255" t="str">
        <f t="shared" si="144"/>
        <v>F.L8.14_15F.1200102</v>
      </c>
      <c r="BW458" s="32" t="s">
        <v>114</v>
      </c>
      <c r="BX458" s="32" t="s">
        <v>730</v>
      </c>
      <c r="BY458" s="32" t="s">
        <v>707</v>
      </c>
      <c r="BZ458" s="32">
        <v>1200102</v>
      </c>
      <c r="CA458" s="32">
        <v>1010</v>
      </c>
    </row>
    <row r="459" spans="74:142" x14ac:dyDescent="0.25">
      <c r="BV459" s="255" t="str">
        <f t="shared" si="144"/>
        <v>F.L8.14_16F.1200102</v>
      </c>
      <c r="BW459" s="32" t="s">
        <v>114</v>
      </c>
      <c r="BX459" s="32" t="s">
        <v>730</v>
      </c>
      <c r="BY459" s="32" t="s">
        <v>709</v>
      </c>
      <c r="BZ459" s="32">
        <v>1200102</v>
      </c>
      <c r="CA459" s="32">
        <v>1010</v>
      </c>
    </row>
    <row r="460" spans="74:142" x14ac:dyDescent="0.25">
      <c r="BV460" s="255" t="str">
        <f t="shared" si="144"/>
        <v>F.L8.15_16F.1200102</v>
      </c>
      <c r="BW460" s="32" t="s">
        <v>114</v>
      </c>
      <c r="BX460" s="32" t="s">
        <v>730</v>
      </c>
      <c r="BY460" s="32" t="s">
        <v>710</v>
      </c>
      <c r="BZ460" s="32">
        <v>1200102</v>
      </c>
      <c r="CA460" s="32">
        <v>1010</v>
      </c>
    </row>
    <row r="461" spans="74:142" x14ac:dyDescent="0.25">
      <c r="BV461" s="255" t="str">
        <f t="shared" si="144"/>
        <v>F.L8.16_16F.1200102</v>
      </c>
      <c r="BW461" s="32" t="s">
        <v>114</v>
      </c>
      <c r="BX461" s="32" t="s">
        <v>730</v>
      </c>
      <c r="BY461" s="32" t="s">
        <v>711</v>
      </c>
      <c r="BZ461" s="32">
        <v>1200102</v>
      </c>
      <c r="CA461" s="32">
        <v>1010</v>
      </c>
    </row>
    <row r="462" spans="74:142" x14ac:dyDescent="0.25">
      <c r="BV462" s="255" t="str">
        <f t="shared" si="144"/>
        <v>F.L8.16_18F.1200102</v>
      </c>
      <c r="BW462" s="32" t="s">
        <v>114</v>
      </c>
      <c r="BX462" s="32" t="s">
        <v>730</v>
      </c>
      <c r="BY462" s="32" t="s">
        <v>712</v>
      </c>
      <c r="BZ462" s="32">
        <v>1200102</v>
      </c>
      <c r="CA462" s="32">
        <v>1170</v>
      </c>
    </row>
    <row r="463" spans="74:142" x14ac:dyDescent="0.25">
      <c r="BV463" s="255" t="str">
        <f t="shared" si="144"/>
        <v>F.L8.10_14S.1200102</v>
      </c>
      <c r="BW463" s="32" t="s">
        <v>114</v>
      </c>
      <c r="BX463" s="32" t="s">
        <v>730</v>
      </c>
      <c r="BY463" s="32" t="s">
        <v>733</v>
      </c>
      <c r="BZ463" s="32">
        <v>1200102</v>
      </c>
      <c r="CA463" s="32">
        <v>1010</v>
      </c>
    </row>
    <row r="464" spans="74:142" x14ac:dyDescent="0.25">
      <c r="BV464" s="255" t="str">
        <f t="shared" si="144"/>
        <v>F.L8.3H_13S.1200102</v>
      </c>
      <c r="BW464" s="32" t="s">
        <v>114</v>
      </c>
      <c r="BX464" s="32" t="s">
        <v>730</v>
      </c>
      <c r="BY464" s="32" t="s">
        <v>679</v>
      </c>
      <c r="BZ464" s="32">
        <v>1200102</v>
      </c>
      <c r="CA464" s="32">
        <v>780</v>
      </c>
    </row>
    <row r="465" spans="74:79" x14ac:dyDescent="0.25">
      <c r="BV465" s="255" t="str">
        <f t="shared" si="144"/>
        <v>F.L8.4_14S.1200102</v>
      </c>
      <c r="BW465" s="32" t="s">
        <v>114</v>
      </c>
      <c r="BX465" s="32" t="s">
        <v>730</v>
      </c>
      <c r="BY465" s="32" t="s">
        <v>739</v>
      </c>
      <c r="BZ465" s="32">
        <v>1200102</v>
      </c>
      <c r="CA465" s="32">
        <v>787</v>
      </c>
    </row>
    <row r="466" spans="74:79" x14ac:dyDescent="0.25">
      <c r="BV466" s="255" t="str">
        <f t="shared" si="144"/>
        <v>F.L8.4_14x8S.1200102</v>
      </c>
      <c r="BW466" s="32" t="s">
        <v>114</v>
      </c>
      <c r="BX466" s="32" t="s">
        <v>730</v>
      </c>
      <c r="BY466" s="32" t="s">
        <v>740</v>
      </c>
      <c r="BZ466" s="32">
        <v>1200102</v>
      </c>
      <c r="CA466" s="32">
        <v>790</v>
      </c>
    </row>
    <row r="467" spans="74:79" x14ac:dyDescent="0.25">
      <c r="BV467" s="255" t="str">
        <f t="shared" si="144"/>
        <v>F.L8.5_14S.1200102</v>
      </c>
      <c r="BW467" s="32" t="s">
        <v>114</v>
      </c>
      <c r="BX467" s="32" t="s">
        <v>730</v>
      </c>
      <c r="BY467" s="32" t="s">
        <v>677</v>
      </c>
      <c r="BZ467" s="32">
        <v>1200102</v>
      </c>
      <c r="CA467" s="32">
        <v>787</v>
      </c>
    </row>
    <row r="468" spans="74:79" x14ac:dyDescent="0.25">
      <c r="BV468" s="255" t="str">
        <f t="shared" si="144"/>
        <v>F.L8.5_14x8S.1200102</v>
      </c>
      <c r="BW468" s="32" t="s">
        <v>114</v>
      </c>
      <c r="BX468" s="32" t="s">
        <v>730</v>
      </c>
      <c r="BY468" s="32" t="s">
        <v>681</v>
      </c>
      <c r="BZ468" s="32">
        <v>1200102</v>
      </c>
      <c r="CA468" s="32">
        <v>790</v>
      </c>
    </row>
    <row r="469" spans="74:79" x14ac:dyDescent="0.25">
      <c r="BV469" s="255" t="str">
        <f t="shared" si="144"/>
        <v>F.L8.5H_14S.1200102</v>
      </c>
      <c r="BW469" s="32" t="s">
        <v>114</v>
      </c>
      <c r="BX469" s="32" t="s">
        <v>730</v>
      </c>
      <c r="BY469" s="32" t="s">
        <v>1208</v>
      </c>
      <c r="BZ469" s="32">
        <v>1200102</v>
      </c>
      <c r="CA469" s="32">
        <v>802</v>
      </c>
    </row>
    <row r="470" spans="74:79" x14ac:dyDescent="0.25">
      <c r="BV470" s="255" t="str">
        <f t="shared" ref="BV470:BV533" si="145">CONCATENATE(BW470,".",BX470,".",BY470,".",BZ470)</f>
        <v>F.L8.5H_14x8S.1200102</v>
      </c>
      <c r="BW470" s="32" t="s">
        <v>114</v>
      </c>
      <c r="BX470" s="32" t="s">
        <v>730</v>
      </c>
      <c r="BY470" s="32" t="s">
        <v>1209</v>
      </c>
      <c r="BZ470" s="32">
        <v>1200102</v>
      </c>
      <c r="CA470" s="32">
        <v>804</v>
      </c>
    </row>
    <row r="471" spans="74:79" x14ac:dyDescent="0.25">
      <c r="BV471" s="255" t="str">
        <f t="shared" si="145"/>
        <v>F.L8.6_12S.1200102</v>
      </c>
      <c r="BW471" s="32" t="s">
        <v>114</v>
      </c>
      <c r="BX471" s="32" t="s">
        <v>730</v>
      </c>
      <c r="BY471" s="32" t="s">
        <v>675</v>
      </c>
      <c r="BZ471" s="32">
        <v>1200102</v>
      </c>
      <c r="CA471" s="32">
        <v>833</v>
      </c>
    </row>
    <row r="472" spans="74:79" x14ac:dyDescent="0.25">
      <c r="BV472" s="255" t="str">
        <f t="shared" si="145"/>
        <v>F.L8.6_13S.1200102</v>
      </c>
      <c r="BW472" s="32" t="s">
        <v>114</v>
      </c>
      <c r="BX472" s="32" t="s">
        <v>730</v>
      </c>
      <c r="BY472" s="32" t="s">
        <v>676</v>
      </c>
      <c r="BZ472" s="32">
        <v>1200102</v>
      </c>
      <c r="CA472" s="32">
        <v>833</v>
      </c>
    </row>
    <row r="473" spans="74:79" x14ac:dyDescent="0.25">
      <c r="BV473" s="255" t="str">
        <f t="shared" si="145"/>
        <v>F.L8.6H_14S.1200102</v>
      </c>
      <c r="BW473" s="32" t="s">
        <v>114</v>
      </c>
      <c r="BX473" s="32" t="s">
        <v>730</v>
      </c>
      <c r="BY473" s="32" t="s">
        <v>680</v>
      </c>
      <c r="BZ473" s="32">
        <v>1200102</v>
      </c>
      <c r="CA473" s="32">
        <v>833</v>
      </c>
    </row>
    <row r="474" spans="74:79" x14ac:dyDescent="0.25">
      <c r="BV474" s="255" t="str">
        <f t="shared" si="145"/>
        <v>F.L8.6H_14x8S.1200102</v>
      </c>
      <c r="BW474" s="32" t="s">
        <v>114</v>
      </c>
      <c r="BX474" s="32" t="s">
        <v>730</v>
      </c>
      <c r="BY474" s="32" t="s">
        <v>682</v>
      </c>
      <c r="BZ474" s="32">
        <v>1200102</v>
      </c>
      <c r="CA474" s="32">
        <v>833</v>
      </c>
    </row>
    <row r="475" spans="74:79" x14ac:dyDescent="0.25">
      <c r="BV475" s="255" t="str">
        <f t="shared" si="145"/>
        <v>F.L8.8_14S.1200102</v>
      </c>
      <c r="BW475" s="32" t="s">
        <v>114</v>
      </c>
      <c r="BX475" s="32" t="s">
        <v>730</v>
      </c>
      <c r="BY475" s="32" t="s">
        <v>678</v>
      </c>
      <c r="BZ475" s="32">
        <v>1200102</v>
      </c>
      <c r="CA475" s="32">
        <v>865</v>
      </c>
    </row>
    <row r="476" spans="74:79" x14ac:dyDescent="0.25">
      <c r="BV476" s="255" t="str">
        <f t="shared" si="145"/>
        <v>F.L8.10_12T.1200102</v>
      </c>
      <c r="BW476" s="32" t="s">
        <v>114</v>
      </c>
      <c r="BX476" s="32" t="s">
        <v>730</v>
      </c>
      <c r="BY476" s="32" t="s">
        <v>713</v>
      </c>
      <c r="BZ476" s="32">
        <v>1200102</v>
      </c>
      <c r="CA476" s="32">
        <v>725</v>
      </c>
    </row>
    <row r="477" spans="74:79" x14ac:dyDescent="0.25">
      <c r="BV477" s="255" t="str">
        <f t="shared" si="145"/>
        <v>F.L8.10_13T.1200102</v>
      </c>
      <c r="BW477" s="32" t="s">
        <v>114</v>
      </c>
      <c r="BX477" s="32" t="s">
        <v>730</v>
      </c>
      <c r="BY477" s="32" t="s">
        <v>715</v>
      </c>
      <c r="BZ477" s="32">
        <v>1200102</v>
      </c>
      <c r="CA477" s="32">
        <v>790</v>
      </c>
    </row>
    <row r="478" spans="74:79" x14ac:dyDescent="0.25">
      <c r="BV478" s="255" t="str">
        <f t="shared" si="145"/>
        <v>F.L8.10_14T.1200102</v>
      </c>
      <c r="BW478" s="32" t="s">
        <v>114</v>
      </c>
      <c r="BX478" s="32" t="s">
        <v>730</v>
      </c>
      <c r="BY478" s="32" t="s">
        <v>718</v>
      </c>
      <c r="BZ478" s="32">
        <v>1200102</v>
      </c>
      <c r="CA478" s="32">
        <v>887</v>
      </c>
    </row>
    <row r="479" spans="74:79" x14ac:dyDescent="0.25">
      <c r="BV479" s="255" t="str">
        <f t="shared" si="145"/>
        <v>F.L8.11_12T.1200102</v>
      </c>
      <c r="BW479" s="32" t="s">
        <v>114</v>
      </c>
      <c r="BX479" s="32" t="s">
        <v>730</v>
      </c>
      <c r="BY479" s="32" t="s">
        <v>714</v>
      </c>
      <c r="BZ479" s="32">
        <v>1200102</v>
      </c>
      <c r="CA479" s="32">
        <v>725</v>
      </c>
    </row>
    <row r="480" spans="74:79" x14ac:dyDescent="0.25">
      <c r="BV480" s="255" t="str">
        <f t="shared" si="145"/>
        <v>F.L8.11_13T.1200102</v>
      </c>
      <c r="BW480" s="32" t="s">
        <v>114</v>
      </c>
      <c r="BX480" s="32" t="s">
        <v>730</v>
      </c>
      <c r="BY480" s="32" t="s">
        <v>716</v>
      </c>
      <c r="BZ480" s="32">
        <v>1200102</v>
      </c>
      <c r="CA480" s="32">
        <v>790</v>
      </c>
    </row>
    <row r="481" spans="74:79" x14ac:dyDescent="0.25">
      <c r="BV481" s="255" t="str">
        <f t="shared" si="145"/>
        <v>F.L8.11_14T.1200102</v>
      </c>
      <c r="BW481" s="32" t="s">
        <v>114</v>
      </c>
      <c r="BX481" s="32" t="s">
        <v>730</v>
      </c>
      <c r="BY481" s="32" t="s">
        <v>719</v>
      </c>
      <c r="BZ481" s="32">
        <v>1200102</v>
      </c>
      <c r="CA481" s="32">
        <v>887</v>
      </c>
    </row>
    <row r="482" spans="74:79" x14ac:dyDescent="0.25">
      <c r="BV482" s="255" t="str">
        <f t="shared" si="145"/>
        <v>F.L8.12_13T.1200102</v>
      </c>
      <c r="BW482" s="32" t="s">
        <v>114</v>
      </c>
      <c r="BX482" s="32" t="s">
        <v>730</v>
      </c>
      <c r="BY482" s="32" t="s">
        <v>717</v>
      </c>
      <c r="BZ482" s="32">
        <v>1200102</v>
      </c>
      <c r="CA482" s="32">
        <v>790</v>
      </c>
    </row>
    <row r="483" spans="74:79" x14ac:dyDescent="0.25">
      <c r="BV483" s="255" t="str">
        <f t="shared" si="145"/>
        <v>F.L8.12_14T.1200102</v>
      </c>
      <c r="BW483" s="32" t="s">
        <v>114</v>
      </c>
      <c r="BX483" s="32" t="s">
        <v>730</v>
      </c>
      <c r="BY483" s="32" t="s">
        <v>720</v>
      </c>
      <c r="BZ483" s="32">
        <v>1200102</v>
      </c>
      <c r="CA483" s="32">
        <v>887</v>
      </c>
    </row>
    <row r="484" spans="74:79" x14ac:dyDescent="0.25">
      <c r="BV484" s="255" t="str">
        <f t="shared" si="145"/>
        <v>F.L8.12_15T.1200102</v>
      </c>
      <c r="BW484" s="32" t="s">
        <v>114</v>
      </c>
      <c r="BX484" s="32" t="s">
        <v>730</v>
      </c>
      <c r="BY484" s="32" t="s">
        <v>723</v>
      </c>
      <c r="BZ484" s="32">
        <v>1200102</v>
      </c>
      <c r="CA484" s="32">
        <v>989</v>
      </c>
    </row>
    <row r="485" spans="74:79" x14ac:dyDescent="0.25">
      <c r="BV485" s="255" t="str">
        <f t="shared" si="145"/>
        <v>F.L8.13_14T.1200102</v>
      </c>
      <c r="BW485" s="32" t="s">
        <v>114</v>
      </c>
      <c r="BX485" s="32" t="s">
        <v>730</v>
      </c>
      <c r="BY485" s="32" t="s">
        <v>721</v>
      </c>
      <c r="BZ485" s="32">
        <v>1200102</v>
      </c>
      <c r="CA485" s="32">
        <v>887</v>
      </c>
    </row>
    <row r="486" spans="74:79" x14ac:dyDescent="0.25">
      <c r="BV486" s="255" t="str">
        <f t="shared" si="145"/>
        <v>F.L8.13_15T.1200102</v>
      </c>
      <c r="BW486" s="32" t="s">
        <v>114</v>
      </c>
      <c r="BX486" s="32" t="s">
        <v>730</v>
      </c>
      <c r="BY486" s="32" t="s">
        <v>724</v>
      </c>
      <c r="BZ486" s="32">
        <v>1200102</v>
      </c>
      <c r="CA486" s="32">
        <v>989</v>
      </c>
    </row>
    <row r="487" spans="74:79" x14ac:dyDescent="0.25">
      <c r="BV487" s="255" t="str">
        <f t="shared" si="145"/>
        <v>F.L8.13_16T.1200102</v>
      </c>
      <c r="BW487" s="32" t="s">
        <v>114</v>
      </c>
      <c r="BX487" s="32" t="s">
        <v>730</v>
      </c>
      <c r="BY487" s="355" t="s">
        <v>726</v>
      </c>
      <c r="BZ487" s="32">
        <v>1200102</v>
      </c>
      <c r="CA487" s="32">
        <v>989</v>
      </c>
    </row>
    <row r="488" spans="74:79" x14ac:dyDescent="0.25">
      <c r="BV488" s="255" t="str">
        <f t="shared" si="145"/>
        <v>F.L8.14_14T.1200102</v>
      </c>
      <c r="BW488" s="32" t="s">
        <v>114</v>
      </c>
      <c r="BX488" s="32" t="s">
        <v>730</v>
      </c>
      <c r="BY488" s="32" t="s">
        <v>722</v>
      </c>
      <c r="BZ488" s="32">
        <v>1200102</v>
      </c>
      <c r="CA488" s="32">
        <v>887</v>
      </c>
    </row>
    <row r="489" spans="74:79" x14ac:dyDescent="0.25">
      <c r="BV489" s="255" t="str">
        <f t="shared" si="145"/>
        <v>F.L8.14_15T.1200102</v>
      </c>
      <c r="BW489" s="32" t="s">
        <v>114</v>
      </c>
      <c r="BX489" s="32" t="s">
        <v>730</v>
      </c>
      <c r="BY489" s="32" t="s">
        <v>725</v>
      </c>
      <c r="BZ489" s="32">
        <v>1200102</v>
      </c>
      <c r="CA489" s="32">
        <v>989</v>
      </c>
    </row>
    <row r="490" spans="74:79" x14ac:dyDescent="0.25">
      <c r="BV490" s="255" t="str">
        <f t="shared" si="145"/>
        <v>F.L8.14_16T.1200102</v>
      </c>
      <c r="BW490" s="32" t="s">
        <v>114</v>
      </c>
      <c r="BX490" s="32" t="s">
        <v>730</v>
      </c>
      <c r="BY490" s="32" t="s">
        <v>727</v>
      </c>
      <c r="BZ490" s="32">
        <v>1200102</v>
      </c>
      <c r="CA490" s="32">
        <v>989</v>
      </c>
    </row>
    <row r="491" spans="74:79" x14ac:dyDescent="0.25">
      <c r="BV491" s="255" t="str">
        <f t="shared" si="145"/>
        <v>F.L8.15_16T.1200102</v>
      </c>
      <c r="BW491" s="32" t="s">
        <v>114</v>
      </c>
      <c r="BX491" s="32" t="s">
        <v>730</v>
      </c>
      <c r="BY491" s="355" t="s">
        <v>728</v>
      </c>
      <c r="BZ491" s="32">
        <v>1200102</v>
      </c>
      <c r="CA491" s="32">
        <v>989</v>
      </c>
    </row>
    <row r="492" spans="74:79" x14ac:dyDescent="0.25">
      <c r="BV492" s="255" t="str">
        <f t="shared" si="145"/>
        <v>F.L8.16_16T.1200102</v>
      </c>
      <c r="BW492" s="32" t="s">
        <v>114</v>
      </c>
      <c r="BX492" s="32" t="s">
        <v>730</v>
      </c>
      <c r="BY492" s="32" t="s">
        <v>729</v>
      </c>
      <c r="BZ492" s="32">
        <v>1200102</v>
      </c>
      <c r="CA492" s="32">
        <v>989</v>
      </c>
    </row>
    <row r="493" spans="74:79" x14ac:dyDescent="0.25">
      <c r="BV493" s="255" t="str">
        <f t="shared" si="145"/>
        <v>F.L8.16_18T.1200102</v>
      </c>
      <c r="BW493" s="32" t="s">
        <v>114</v>
      </c>
      <c r="BX493" s="32" t="s">
        <v>730</v>
      </c>
      <c r="BY493" s="32" t="s">
        <v>734</v>
      </c>
      <c r="BZ493" s="32">
        <v>1200102</v>
      </c>
      <c r="CA493" s="32">
        <v>989</v>
      </c>
    </row>
    <row r="494" spans="74:79" x14ac:dyDescent="0.25">
      <c r="BV494" s="255" t="str">
        <f t="shared" si="145"/>
        <v>F.L8.6_6T.1200102</v>
      </c>
      <c r="BW494" s="32" t="s">
        <v>114</v>
      </c>
      <c r="BX494" s="32" t="s">
        <v>730</v>
      </c>
      <c r="BY494" s="32" t="s">
        <v>735</v>
      </c>
      <c r="BZ494" s="32">
        <v>1200102</v>
      </c>
      <c r="CA494" s="32">
        <v>601</v>
      </c>
    </row>
    <row r="495" spans="74:79" x14ac:dyDescent="0.25">
      <c r="BV495" s="255" t="str">
        <f t="shared" si="145"/>
        <v>F.L8.6_8T.1200102</v>
      </c>
      <c r="BW495" s="32" t="s">
        <v>114</v>
      </c>
      <c r="BX495" s="32" t="s">
        <v>730</v>
      </c>
      <c r="BY495" s="32" t="s">
        <v>736</v>
      </c>
      <c r="BZ495" s="32">
        <v>1200102</v>
      </c>
      <c r="CA495" s="32">
        <v>601</v>
      </c>
    </row>
    <row r="496" spans="74:79" x14ac:dyDescent="0.25">
      <c r="BV496" s="255" t="str">
        <f t="shared" si="145"/>
        <v>F.L8.7_10T.1200102</v>
      </c>
      <c r="BW496" s="32" t="s">
        <v>114</v>
      </c>
      <c r="BX496" s="32" t="s">
        <v>730</v>
      </c>
      <c r="BY496" s="32" t="s">
        <v>668</v>
      </c>
      <c r="BZ496" s="32">
        <v>1200102</v>
      </c>
      <c r="CA496" s="32">
        <v>710</v>
      </c>
    </row>
    <row r="497" spans="74:79" x14ac:dyDescent="0.25">
      <c r="BV497" s="255" t="str">
        <f t="shared" si="145"/>
        <v>F.L8.7_6T.1200102</v>
      </c>
      <c r="BW497" s="32" t="s">
        <v>114</v>
      </c>
      <c r="BX497" s="32" t="s">
        <v>730</v>
      </c>
      <c r="BY497" s="32" t="s">
        <v>664</v>
      </c>
      <c r="BZ497" s="32">
        <v>1200102</v>
      </c>
      <c r="CA497" s="32">
        <v>601</v>
      </c>
    </row>
    <row r="498" spans="74:79" x14ac:dyDescent="0.25">
      <c r="BV498" s="255" t="str">
        <f t="shared" si="145"/>
        <v>F.L8.7_8T.1200102</v>
      </c>
      <c r="BW498" s="32" t="s">
        <v>114</v>
      </c>
      <c r="BX498" s="32" t="s">
        <v>730</v>
      </c>
      <c r="BY498" s="32" t="s">
        <v>666</v>
      </c>
      <c r="BZ498" s="32">
        <v>1200102</v>
      </c>
      <c r="CA498" s="32">
        <v>601</v>
      </c>
    </row>
    <row r="499" spans="74:79" x14ac:dyDescent="0.25">
      <c r="BV499" s="255" t="str">
        <f t="shared" si="145"/>
        <v>F.L8.7H_10T.1200102</v>
      </c>
      <c r="BW499" s="32" t="s">
        <v>114</v>
      </c>
      <c r="BX499" s="32" t="s">
        <v>730</v>
      </c>
      <c r="BY499" s="32" t="s">
        <v>674</v>
      </c>
      <c r="BZ499" s="32">
        <v>1200102</v>
      </c>
      <c r="CA499" s="32">
        <v>710</v>
      </c>
    </row>
    <row r="500" spans="74:79" x14ac:dyDescent="0.25">
      <c r="BV500" s="255" t="str">
        <f t="shared" si="145"/>
        <v>F.L8.8_10T.1200102</v>
      </c>
      <c r="BW500" s="32" t="s">
        <v>114</v>
      </c>
      <c r="BX500" s="32" t="s">
        <v>730</v>
      </c>
      <c r="BY500" s="32" t="s">
        <v>669</v>
      </c>
      <c r="BZ500" s="32">
        <v>1200102</v>
      </c>
      <c r="CA500" s="32">
        <v>710</v>
      </c>
    </row>
    <row r="501" spans="74:79" x14ac:dyDescent="0.25">
      <c r="BV501" s="255" t="str">
        <f t="shared" si="145"/>
        <v>F.L8.8_12T.1200102</v>
      </c>
      <c r="BW501" s="32" t="s">
        <v>114</v>
      </c>
      <c r="BX501" s="32" t="s">
        <v>730</v>
      </c>
      <c r="BY501" s="32" t="s">
        <v>671</v>
      </c>
      <c r="BZ501" s="32">
        <v>1200102</v>
      </c>
      <c r="CA501" s="32">
        <v>725</v>
      </c>
    </row>
    <row r="502" spans="74:79" x14ac:dyDescent="0.25">
      <c r="BV502" s="255" t="str">
        <f t="shared" si="145"/>
        <v>F.L8.8_6T.1200102</v>
      </c>
      <c r="BW502" s="32" t="s">
        <v>114</v>
      </c>
      <c r="BX502" s="32" t="s">
        <v>730</v>
      </c>
      <c r="BY502" s="32" t="s">
        <v>665</v>
      </c>
      <c r="BZ502" s="32">
        <v>1200102</v>
      </c>
      <c r="CA502" s="32">
        <v>601</v>
      </c>
    </row>
    <row r="503" spans="74:79" x14ac:dyDescent="0.25">
      <c r="BV503" s="255" t="str">
        <f t="shared" si="145"/>
        <v>F.L8.8_8T.1200102</v>
      </c>
      <c r="BW503" s="32" t="s">
        <v>114</v>
      </c>
      <c r="BX503" s="32" t="s">
        <v>730</v>
      </c>
      <c r="BY503" s="32" t="s">
        <v>667</v>
      </c>
      <c r="BZ503" s="32">
        <v>1200102</v>
      </c>
      <c r="CA503" s="32">
        <v>601</v>
      </c>
    </row>
    <row r="504" spans="74:79" x14ac:dyDescent="0.25">
      <c r="BV504" s="255" t="str">
        <f t="shared" si="145"/>
        <v>F.L8.9_10T.1200102</v>
      </c>
      <c r="BW504" s="32" t="s">
        <v>114</v>
      </c>
      <c r="BX504" s="32" t="s">
        <v>730</v>
      </c>
      <c r="BY504" s="32" t="s">
        <v>670</v>
      </c>
      <c r="BZ504" s="32">
        <v>1200102</v>
      </c>
      <c r="CA504" s="32">
        <v>710</v>
      </c>
    </row>
    <row r="505" spans="74:79" x14ac:dyDescent="0.25">
      <c r="BV505" s="255" t="str">
        <f t="shared" si="145"/>
        <v>F.L8.9_12T.1200102</v>
      </c>
      <c r="BW505" s="32" t="s">
        <v>114</v>
      </c>
      <c r="BX505" s="32" t="s">
        <v>730</v>
      </c>
      <c r="BY505" s="32" t="s">
        <v>672</v>
      </c>
      <c r="BZ505" s="32">
        <v>1200102</v>
      </c>
      <c r="CA505" s="32">
        <v>725</v>
      </c>
    </row>
    <row r="506" spans="74:79" x14ac:dyDescent="0.25">
      <c r="BV506" s="255" t="str">
        <f t="shared" si="145"/>
        <v>F.L8.9_13T.1200102</v>
      </c>
      <c r="BW506" s="32" t="s">
        <v>114</v>
      </c>
      <c r="BX506" s="32" t="s">
        <v>730</v>
      </c>
      <c r="BY506" s="32" t="s">
        <v>673</v>
      </c>
      <c r="BZ506" s="32">
        <v>1200102</v>
      </c>
      <c r="CA506" s="32">
        <v>790</v>
      </c>
    </row>
    <row r="507" spans="74:79" x14ac:dyDescent="0.25">
      <c r="BV507" s="255" t="str">
        <f t="shared" si="145"/>
        <v>F.L8.9_14T.1200102</v>
      </c>
      <c r="BW507" s="32" t="s">
        <v>114</v>
      </c>
      <c r="BX507" s="32" t="s">
        <v>730</v>
      </c>
      <c r="BY507" s="32" t="s">
        <v>737</v>
      </c>
      <c r="BZ507" s="32">
        <v>1200102</v>
      </c>
      <c r="CA507" s="32">
        <v>887</v>
      </c>
    </row>
    <row r="508" spans="74:79" x14ac:dyDescent="0.25">
      <c r="BV508" s="255" t="str">
        <f t="shared" si="145"/>
        <v>F.LL.12_18B.1200102</v>
      </c>
      <c r="BW508" s="32" t="s">
        <v>114</v>
      </c>
      <c r="BX508" s="32" t="s">
        <v>731</v>
      </c>
      <c r="BY508" s="32" t="s">
        <v>683</v>
      </c>
      <c r="BZ508" s="32">
        <v>1200102</v>
      </c>
      <c r="CA508" s="32">
        <v>2546</v>
      </c>
    </row>
    <row r="509" spans="74:79" x14ac:dyDescent="0.25">
      <c r="BV509" s="255" t="str">
        <f t="shared" si="145"/>
        <v>F.LL.12_20B.1200102</v>
      </c>
      <c r="BW509" s="32" t="s">
        <v>114</v>
      </c>
      <c r="BX509" s="32" t="s">
        <v>731</v>
      </c>
      <c r="BY509" s="32" t="s">
        <v>686</v>
      </c>
      <c r="BZ509" s="32">
        <v>1200102</v>
      </c>
      <c r="CA509" s="32">
        <v>2567</v>
      </c>
    </row>
    <row r="510" spans="74:79" x14ac:dyDescent="0.25">
      <c r="BV510" s="255" t="str">
        <f t="shared" si="145"/>
        <v>F.LL.12_22B.1200102</v>
      </c>
      <c r="BW510" s="32" t="s">
        <v>114</v>
      </c>
      <c r="BX510" s="32" t="s">
        <v>731</v>
      </c>
      <c r="BY510" s="32" t="s">
        <v>690</v>
      </c>
      <c r="BZ510" s="32">
        <v>1200102</v>
      </c>
      <c r="CA510" s="32">
        <v>2577</v>
      </c>
    </row>
    <row r="511" spans="74:79" x14ac:dyDescent="0.25">
      <c r="BV511" s="255" t="str">
        <f t="shared" si="145"/>
        <v>F.LL.12_24B.1200102</v>
      </c>
      <c r="BW511" s="32" t="s">
        <v>114</v>
      </c>
      <c r="BX511" s="32" t="s">
        <v>731</v>
      </c>
      <c r="BY511" s="32" t="s">
        <v>695</v>
      </c>
      <c r="BZ511" s="32">
        <v>1200102</v>
      </c>
      <c r="CA511" s="32">
        <v>2719</v>
      </c>
    </row>
    <row r="512" spans="74:79" x14ac:dyDescent="0.25">
      <c r="BV512" s="255" t="str">
        <f t="shared" si="145"/>
        <v>F.LL.12_26B.1200102</v>
      </c>
      <c r="BW512" s="32" t="s">
        <v>114</v>
      </c>
      <c r="BX512" s="32" t="s">
        <v>731</v>
      </c>
      <c r="BY512" s="32" t="s">
        <v>700</v>
      </c>
      <c r="BZ512" s="32">
        <v>1200102</v>
      </c>
      <c r="CA512" s="32">
        <v>2740</v>
      </c>
    </row>
    <row r="513" spans="74:79" x14ac:dyDescent="0.25">
      <c r="BV513" s="255" t="str">
        <f t="shared" si="145"/>
        <v>F.LL.14_18B.1200102</v>
      </c>
      <c r="BW513" s="32" t="s">
        <v>114</v>
      </c>
      <c r="BX513" s="32" t="s">
        <v>731</v>
      </c>
      <c r="BY513" s="32" t="s">
        <v>684</v>
      </c>
      <c r="BZ513" s="32">
        <v>1200102</v>
      </c>
      <c r="CA513" s="32">
        <v>2546</v>
      </c>
    </row>
    <row r="514" spans="74:79" x14ac:dyDescent="0.25">
      <c r="BV514" s="255" t="str">
        <f t="shared" si="145"/>
        <v>F.LL.14_20B.1200102</v>
      </c>
      <c r="BW514" s="32" t="s">
        <v>114</v>
      </c>
      <c r="BX514" s="32" t="s">
        <v>731</v>
      </c>
      <c r="BY514" s="32" t="s">
        <v>687</v>
      </c>
      <c r="BZ514" s="32">
        <v>1200102</v>
      </c>
      <c r="CA514" s="32">
        <v>2567</v>
      </c>
    </row>
    <row r="515" spans="74:79" x14ac:dyDescent="0.25">
      <c r="BV515" s="255" t="str">
        <f t="shared" si="145"/>
        <v>F.LL.14_22B.1200102</v>
      </c>
      <c r="BW515" s="32" t="s">
        <v>114</v>
      </c>
      <c r="BX515" s="32" t="s">
        <v>731</v>
      </c>
      <c r="BY515" s="32" t="s">
        <v>691</v>
      </c>
      <c r="BZ515" s="32">
        <v>1200102</v>
      </c>
      <c r="CA515" s="32">
        <v>2577</v>
      </c>
    </row>
    <row r="516" spans="74:79" x14ac:dyDescent="0.25">
      <c r="BV516" s="255" t="str">
        <f t="shared" si="145"/>
        <v>F.LL.14_24B.1200102</v>
      </c>
      <c r="BW516" s="32" t="s">
        <v>114</v>
      </c>
      <c r="BX516" s="32" t="s">
        <v>731</v>
      </c>
      <c r="BY516" s="32" t="s">
        <v>696</v>
      </c>
      <c r="BZ516" s="32">
        <v>1200102</v>
      </c>
      <c r="CA516" s="32">
        <v>2719</v>
      </c>
    </row>
    <row r="517" spans="74:79" x14ac:dyDescent="0.25">
      <c r="BV517" s="255" t="str">
        <f t="shared" si="145"/>
        <v>F.LL.14_26B.1200102</v>
      </c>
      <c r="BW517" s="32" t="s">
        <v>114</v>
      </c>
      <c r="BX517" s="32" t="s">
        <v>731</v>
      </c>
      <c r="BY517" s="32" t="s">
        <v>701</v>
      </c>
      <c r="BZ517" s="32">
        <v>1200102</v>
      </c>
      <c r="CA517" s="32">
        <v>2740</v>
      </c>
    </row>
    <row r="518" spans="74:79" x14ac:dyDescent="0.25">
      <c r="BV518" s="255" t="str">
        <f t="shared" si="145"/>
        <v>F.LL.16_18B.1200102</v>
      </c>
      <c r="BW518" s="32" t="s">
        <v>114</v>
      </c>
      <c r="BX518" s="32" t="s">
        <v>731</v>
      </c>
      <c r="BY518" s="32" t="s">
        <v>685</v>
      </c>
      <c r="BZ518" s="32">
        <v>1200102</v>
      </c>
      <c r="CA518" s="32">
        <v>2546</v>
      </c>
    </row>
    <row r="519" spans="74:79" x14ac:dyDescent="0.25">
      <c r="BV519" s="255" t="str">
        <f t="shared" si="145"/>
        <v>F.LL.16_20B.1200102</v>
      </c>
      <c r="BW519" s="32" t="s">
        <v>114</v>
      </c>
      <c r="BX519" s="32" t="s">
        <v>731</v>
      </c>
      <c r="BY519" s="32" t="s">
        <v>688</v>
      </c>
      <c r="BZ519" s="32">
        <v>1200102</v>
      </c>
      <c r="CA519" s="32">
        <v>2567</v>
      </c>
    </row>
    <row r="520" spans="74:79" x14ac:dyDescent="0.25">
      <c r="BV520" s="255" t="str">
        <f t="shared" si="145"/>
        <v>F.LL.16_22B.1200102</v>
      </c>
      <c r="BW520" s="32" t="s">
        <v>114</v>
      </c>
      <c r="BX520" s="32" t="s">
        <v>731</v>
      </c>
      <c r="BY520" s="32" t="s">
        <v>692</v>
      </c>
      <c r="BZ520" s="32">
        <v>1200102</v>
      </c>
      <c r="CA520" s="32">
        <v>2577</v>
      </c>
    </row>
    <row r="521" spans="74:79" x14ac:dyDescent="0.25">
      <c r="BV521" s="255" t="str">
        <f t="shared" si="145"/>
        <v>F.LL.16_24B.1200102</v>
      </c>
      <c r="BW521" s="32" t="s">
        <v>114</v>
      </c>
      <c r="BX521" s="32" t="s">
        <v>731</v>
      </c>
      <c r="BY521" s="32" t="s">
        <v>697</v>
      </c>
      <c r="BZ521" s="32">
        <v>1200102</v>
      </c>
      <c r="CA521" s="32">
        <v>2719</v>
      </c>
    </row>
    <row r="522" spans="74:79" x14ac:dyDescent="0.25">
      <c r="BV522" s="255" t="str">
        <f t="shared" si="145"/>
        <v>F.LL.16_26B.1200102</v>
      </c>
      <c r="BW522" s="32" t="s">
        <v>114</v>
      </c>
      <c r="BX522" s="32" t="s">
        <v>731</v>
      </c>
      <c r="BY522" s="32" t="s">
        <v>702</v>
      </c>
      <c r="BZ522" s="32">
        <v>1200102</v>
      </c>
      <c r="CA522" s="32">
        <v>2740</v>
      </c>
    </row>
    <row r="523" spans="74:79" x14ac:dyDescent="0.25">
      <c r="BV523" s="255" t="str">
        <f t="shared" si="145"/>
        <v>F.LL.18_20B.1200102</v>
      </c>
      <c r="BW523" s="32" t="s">
        <v>114</v>
      </c>
      <c r="BX523" s="32" t="s">
        <v>731</v>
      </c>
      <c r="BY523" s="32" t="s">
        <v>689</v>
      </c>
      <c r="BZ523" s="32">
        <v>1200102</v>
      </c>
      <c r="CA523" s="32">
        <v>2567</v>
      </c>
    </row>
    <row r="524" spans="74:79" x14ac:dyDescent="0.25">
      <c r="BV524" s="255" t="str">
        <f t="shared" si="145"/>
        <v>F.LL.18_22B.1200102</v>
      </c>
      <c r="BW524" s="32" t="s">
        <v>114</v>
      </c>
      <c r="BX524" s="32" t="s">
        <v>731</v>
      </c>
      <c r="BY524" s="32" t="s">
        <v>693</v>
      </c>
      <c r="BZ524" s="32">
        <v>1200102</v>
      </c>
      <c r="CA524" s="32">
        <v>2577</v>
      </c>
    </row>
    <row r="525" spans="74:79" x14ac:dyDescent="0.25">
      <c r="BV525" s="255" t="str">
        <f t="shared" si="145"/>
        <v>F.LL.18_24B.1200102</v>
      </c>
      <c r="BW525" s="32" t="s">
        <v>114</v>
      </c>
      <c r="BX525" s="32" t="s">
        <v>731</v>
      </c>
      <c r="BY525" s="32" t="s">
        <v>698</v>
      </c>
      <c r="BZ525" s="32">
        <v>1200102</v>
      </c>
      <c r="CA525" s="32">
        <v>2719</v>
      </c>
    </row>
    <row r="526" spans="74:79" x14ac:dyDescent="0.25">
      <c r="BV526" s="255" t="str">
        <f t="shared" si="145"/>
        <v>F.LL.20_20B.1200102</v>
      </c>
      <c r="BW526" s="32" t="s">
        <v>114</v>
      </c>
      <c r="BX526" s="32" t="s">
        <v>731</v>
      </c>
      <c r="BY526" s="32" t="s">
        <v>738</v>
      </c>
      <c r="BZ526" s="32">
        <v>1200102</v>
      </c>
      <c r="CA526" s="32">
        <v>2567</v>
      </c>
    </row>
    <row r="527" spans="74:79" x14ac:dyDescent="0.25">
      <c r="BV527" s="255" t="str">
        <f t="shared" si="145"/>
        <v>F.LL.20_22B.1200102</v>
      </c>
      <c r="BW527" s="32" t="s">
        <v>114</v>
      </c>
      <c r="BX527" s="32" t="s">
        <v>731</v>
      </c>
      <c r="BY527" s="32" t="s">
        <v>694</v>
      </c>
      <c r="BZ527" s="32">
        <v>1200102</v>
      </c>
      <c r="CA527" s="32">
        <v>2577</v>
      </c>
    </row>
    <row r="528" spans="74:79" x14ac:dyDescent="0.25">
      <c r="BV528" s="255" t="str">
        <f t="shared" si="145"/>
        <v>F.LL.20_24B.1200102</v>
      </c>
      <c r="BW528" s="32" t="s">
        <v>114</v>
      </c>
      <c r="BX528" s="32" t="s">
        <v>731</v>
      </c>
      <c r="BY528" s="32" t="s">
        <v>699</v>
      </c>
      <c r="BZ528" s="32">
        <v>1200102</v>
      </c>
      <c r="CA528" s="32">
        <v>2719</v>
      </c>
    </row>
    <row r="529" spans="74:79" x14ac:dyDescent="0.25">
      <c r="BV529" s="255" t="str">
        <f t="shared" si="145"/>
        <v>F.LL.12_14F.1200102</v>
      </c>
      <c r="BW529" s="32" t="s">
        <v>114</v>
      </c>
      <c r="BX529" s="32" t="s">
        <v>731</v>
      </c>
      <c r="BY529" s="32" t="s">
        <v>703</v>
      </c>
      <c r="BZ529" s="32">
        <v>1200102</v>
      </c>
      <c r="CA529" s="32">
        <v>1590</v>
      </c>
    </row>
    <row r="530" spans="74:79" x14ac:dyDescent="0.25">
      <c r="BV530" s="255" t="str">
        <f t="shared" si="145"/>
        <v>F.LL.13_14F.1200102</v>
      </c>
      <c r="BW530" s="32" t="s">
        <v>114</v>
      </c>
      <c r="BX530" s="32" t="s">
        <v>731</v>
      </c>
      <c r="BY530" s="32" t="s">
        <v>704</v>
      </c>
      <c r="BZ530" s="32">
        <v>1200102</v>
      </c>
      <c r="CA530" s="32">
        <v>1590</v>
      </c>
    </row>
    <row r="531" spans="74:79" x14ac:dyDescent="0.25">
      <c r="BV531" s="255" t="str">
        <f t="shared" si="145"/>
        <v>F.LL.13_15F.1200102</v>
      </c>
      <c r="BW531" s="32" t="s">
        <v>114</v>
      </c>
      <c r="BX531" s="32" t="s">
        <v>731</v>
      </c>
      <c r="BY531" s="32" t="s">
        <v>706</v>
      </c>
      <c r="BZ531" s="32">
        <v>1200102</v>
      </c>
      <c r="CA531" s="32">
        <v>1652</v>
      </c>
    </row>
    <row r="532" spans="74:79" x14ac:dyDescent="0.25">
      <c r="BV532" s="255" t="str">
        <f t="shared" si="145"/>
        <v>F.LL.13_16F.1200102</v>
      </c>
      <c r="BW532" s="32" t="s">
        <v>114</v>
      </c>
      <c r="BX532" s="32" t="s">
        <v>731</v>
      </c>
      <c r="BY532" s="32" t="s">
        <v>708</v>
      </c>
      <c r="BZ532" s="32">
        <v>1200102</v>
      </c>
      <c r="CA532" s="32">
        <v>1681</v>
      </c>
    </row>
    <row r="533" spans="74:79" x14ac:dyDescent="0.25">
      <c r="BV533" s="255" t="str">
        <f t="shared" si="145"/>
        <v>F.LL.14_14F.1200102</v>
      </c>
      <c r="BW533" s="32" t="s">
        <v>114</v>
      </c>
      <c r="BX533" s="32" t="s">
        <v>731</v>
      </c>
      <c r="BY533" s="32" t="s">
        <v>705</v>
      </c>
      <c r="BZ533" s="32">
        <v>1200102</v>
      </c>
      <c r="CA533" s="32">
        <v>1590</v>
      </c>
    </row>
    <row r="534" spans="74:79" x14ac:dyDescent="0.25">
      <c r="BV534" s="255" t="str">
        <f t="shared" ref="BV534:BV597" si="146">CONCATENATE(BW534,".",BX534,".",BY534,".",BZ534)</f>
        <v>F.LL.14_15F.1200102</v>
      </c>
      <c r="BW534" s="32" t="s">
        <v>114</v>
      </c>
      <c r="BX534" s="32" t="s">
        <v>731</v>
      </c>
      <c r="BY534" s="32" t="s">
        <v>707</v>
      </c>
      <c r="BZ534" s="32">
        <v>1200102</v>
      </c>
      <c r="CA534" s="32">
        <v>1652</v>
      </c>
    </row>
    <row r="535" spans="74:79" x14ac:dyDescent="0.25">
      <c r="BV535" s="255" t="str">
        <f t="shared" si="146"/>
        <v>F.LL.14_16F.1200102</v>
      </c>
      <c r="BW535" s="32" t="s">
        <v>114</v>
      </c>
      <c r="BX535" s="32" t="s">
        <v>731</v>
      </c>
      <c r="BY535" s="32" t="s">
        <v>709</v>
      </c>
      <c r="BZ535" s="32">
        <v>1200102</v>
      </c>
      <c r="CA535" s="32">
        <v>1681</v>
      </c>
    </row>
    <row r="536" spans="74:79" x14ac:dyDescent="0.25">
      <c r="BV536" s="255" t="str">
        <f t="shared" si="146"/>
        <v>F.LL.15_16F.1200102</v>
      </c>
      <c r="BW536" s="32" t="s">
        <v>114</v>
      </c>
      <c r="BX536" s="32" t="s">
        <v>731</v>
      </c>
      <c r="BY536" s="32" t="s">
        <v>710</v>
      </c>
      <c r="BZ536" s="32">
        <v>1200102</v>
      </c>
      <c r="CA536" s="32">
        <v>1681</v>
      </c>
    </row>
    <row r="537" spans="74:79" x14ac:dyDescent="0.25">
      <c r="BV537" s="255" t="str">
        <f t="shared" si="146"/>
        <v>F.LL.16_16F.1200102</v>
      </c>
      <c r="BW537" s="32" t="s">
        <v>114</v>
      </c>
      <c r="BX537" s="32" t="s">
        <v>731</v>
      </c>
      <c r="BY537" s="32" t="s">
        <v>711</v>
      </c>
      <c r="BZ537" s="32">
        <v>1200102</v>
      </c>
      <c r="CA537" s="32">
        <v>1681</v>
      </c>
    </row>
    <row r="538" spans="74:79" x14ac:dyDescent="0.25">
      <c r="BV538" s="255" t="str">
        <f t="shared" si="146"/>
        <v>F.LL.16_18F.1200102</v>
      </c>
      <c r="BW538" s="32" t="s">
        <v>114</v>
      </c>
      <c r="BX538" s="32" t="s">
        <v>731</v>
      </c>
      <c r="BY538" s="32" t="s">
        <v>712</v>
      </c>
      <c r="BZ538" s="32">
        <v>1200102</v>
      </c>
      <c r="CA538" s="32">
        <v>1817</v>
      </c>
    </row>
    <row r="539" spans="74:79" x14ac:dyDescent="0.25">
      <c r="BV539" s="255" t="str">
        <f t="shared" si="146"/>
        <v>F.LL.10_14S.1200102</v>
      </c>
      <c r="BW539" s="32" t="s">
        <v>114</v>
      </c>
      <c r="BX539" s="32" t="s">
        <v>731</v>
      </c>
      <c r="BY539" s="32" t="s">
        <v>733</v>
      </c>
      <c r="BZ539" s="32">
        <v>1200102</v>
      </c>
      <c r="CA539" s="32">
        <v>1180</v>
      </c>
    </row>
    <row r="540" spans="74:79" x14ac:dyDescent="0.25">
      <c r="BV540" s="255" t="str">
        <f t="shared" si="146"/>
        <v>F.LL.4_14S.1200102</v>
      </c>
      <c r="BW540" s="32" t="s">
        <v>114</v>
      </c>
      <c r="BX540" s="32" t="s">
        <v>731</v>
      </c>
      <c r="BY540" s="32" t="s">
        <v>739</v>
      </c>
      <c r="BZ540" s="32">
        <v>1200102</v>
      </c>
      <c r="CA540" s="32">
        <v>1022</v>
      </c>
    </row>
    <row r="541" spans="74:79" x14ac:dyDescent="0.25">
      <c r="BV541" s="255" t="str">
        <f t="shared" si="146"/>
        <v>F.LL.4_14x8S.1200102</v>
      </c>
      <c r="BW541" s="32" t="s">
        <v>114</v>
      </c>
      <c r="BX541" s="32" t="s">
        <v>731</v>
      </c>
      <c r="BY541" s="32" t="s">
        <v>740</v>
      </c>
      <c r="BZ541" s="32">
        <v>1200102</v>
      </c>
      <c r="CA541" s="32">
        <v>1022</v>
      </c>
    </row>
    <row r="542" spans="74:79" x14ac:dyDescent="0.25">
      <c r="BV542" s="255" t="str">
        <f t="shared" si="146"/>
        <v>F.LL.5_14S.1200102</v>
      </c>
      <c r="BW542" s="32" t="s">
        <v>114</v>
      </c>
      <c r="BX542" s="32" t="s">
        <v>731</v>
      </c>
      <c r="BY542" s="32" t="s">
        <v>677</v>
      </c>
      <c r="BZ542" s="32">
        <v>1200102</v>
      </c>
      <c r="CA542" s="32">
        <v>1022</v>
      </c>
    </row>
    <row r="543" spans="74:79" x14ac:dyDescent="0.25">
      <c r="BV543" s="255" t="str">
        <f t="shared" si="146"/>
        <v>F.LL.5_14x8S.1200102</v>
      </c>
      <c r="BW543" s="32" t="s">
        <v>114</v>
      </c>
      <c r="BX543" s="32" t="s">
        <v>731</v>
      </c>
      <c r="BY543" s="32" t="s">
        <v>681</v>
      </c>
      <c r="BZ543" s="32">
        <v>1200102</v>
      </c>
      <c r="CA543" s="32">
        <v>1022</v>
      </c>
    </row>
    <row r="544" spans="74:79" x14ac:dyDescent="0.25">
      <c r="BV544" s="255" t="str">
        <f t="shared" si="146"/>
        <v>F.LL.5H_14S.1200102</v>
      </c>
      <c r="BW544" s="32" t="s">
        <v>114</v>
      </c>
      <c r="BX544" s="32" t="s">
        <v>731</v>
      </c>
      <c r="BY544" s="32" t="s">
        <v>1208</v>
      </c>
      <c r="BZ544" s="32">
        <v>1200102</v>
      </c>
      <c r="CA544" s="32">
        <v>1048</v>
      </c>
    </row>
    <row r="545" spans="74:79" x14ac:dyDescent="0.25">
      <c r="BV545" s="255" t="str">
        <f t="shared" si="146"/>
        <v>F.LL.5H_14x8S.1200102</v>
      </c>
      <c r="BW545" s="32" t="s">
        <v>114</v>
      </c>
      <c r="BX545" s="32" t="s">
        <v>731</v>
      </c>
      <c r="BY545" s="32" t="s">
        <v>1209</v>
      </c>
      <c r="BZ545" s="32">
        <v>1200102</v>
      </c>
      <c r="CA545" s="32">
        <v>1048</v>
      </c>
    </row>
    <row r="546" spans="74:79" x14ac:dyDescent="0.25">
      <c r="BV546" s="255" t="str">
        <f t="shared" si="146"/>
        <v>F.LL.6_12S.1200102</v>
      </c>
      <c r="BW546" s="32" t="s">
        <v>114</v>
      </c>
      <c r="BX546" s="32" t="s">
        <v>731</v>
      </c>
      <c r="BY546" s="32" t="s">
        <v>675</v>
      </c>
      <c r="BZ546" s="32">
        <v>1200102</v>
      </c>
      <c r="CA546" s="32">
        <v>1033</v>
      </c>
    </row>
    <row r="547" spans="74:79" x14ac:dyDescent="0.25">
      <c r="BV547" s="255" t="str">
        <f t="shared" si="146"/>
        <v>F.LL.6_13S.1200102</v>
      </c>
      <c r="BW547" s="32" t="s">
        <v>114</v>
      </c>
      <c r="BX547" s="32" t="s">
        <v>731</v>
      </c>
      <c r="BY547" s="32" t="s">
        <v>676</v>
      </c>
      <c r="BZ547" s="32">
        <v>1200102</v>
      </c>
      <c r="CA547" s="32">
        <v>1061</v>
      </c>
    </row>
    <row r="548" spans="74:79" x14ac:dyDescent="0.25">
      <c r="BV548" s="255" t="str">
        <f t="shared" si="146"/>
        <v>F.LL.6H_14S.1200102</v>
      </c>
      <c r="BW548" s="32" t="s">
        <v>114</v>
      </c>
      <c r="BX548" s="32" t="s">
        <v>731</v>
      </c>
      <c r="BY548" s="32" t="s">
        <v>680</v>
      </c>
      <c r="BZ548" s="32">
        <v>1200102</v>
      </c>
      <c r="CA548" s="32">
        <v>1101</v>
      </c>
    </row>
    <row r="549" spans="74:79" x14ac:dyDescent="0.25">
      <c r="BV549" s="255" t="str">
        <f t="shared" si="146"/>
        <v>F.LL.6H_14x8S.1200102</v>
      </c>
      <c r="BW549" s="32" t="s">
        <v>114</v>
      </c>
      <c r="BX549" s="32" t="s">
        <v>731</v>
      </c>
      <c r="BY549" s="32" t="s">
        <v>682</v>
      </c>
      <c r="BZ549" s="32">
        <v>1200102</v>
      </c>
      <c r="CA549" s="32">
        <v>1101</v>
      </c>
    </row>
    <row r="550" spans="74:79" x14ac:dyDescent="0.25">
      <c r="BV550" s="255" t="str">
        <f t="shared" si="146"/>
        <v>F.LL.8_14S.1200102</v>
      </c>
      <c r="BW550" s="32" t="s">
        <v>114</v>
      </c>
      <c r="BX550" s="32" t="s">
        <v>731</v>
      </c>
      <c r="BY550" s="32" t="s">
        <v>678</v>
      </c>
      <c r="BZ550" s="32">
        <v>1200102</v>
      </c>
      <c r="CA550" s="32">
        <v>1152</v>
      </c>
    </row>
    <row r="551" spans="74:79" x14ac:dyDescent="0.25">
      <c r="BV551" s="255" t="str">
        <f t="shared" si="146"/>
        <v>F.LL.10_12T.1200102</v>
      </c>
      <c r="BW551" s="32" t="s">
        <v>114</v>
      </c>
      <c r="BX551" s="32" t="s">
        <v>731</v>
      </c>
      <c r="BY551" s="32" t="s">
        <v>713</v>
      </c>
      <c r="BZ551" s="32">
        <v>1200102</v>
      </c>
      <c r="CA551" s="32">
        <v>1330</v>
      </c>
    </row>
    <row r="552" spans="74:79" x14ac:dyDescent="0.25">
      <c r="BV552" s="255" t="str">
        <f t="shared" si="146"/>
        <v>F.LL.10_13T.1200102</v>
      </c>
      <c r="BW552" s="32" t="s">
        <v>114</v>
      </c>
      <c r="BX552" s="32" t="s">
        <v>731</v>
      </c>
      <c r="BY552" s="32" t="s">
        <v>715</v>
      </c>
      <c r="BZ552" s="32">
        <v>1200102</v>
      </c>
      <c r="CA552" s="32">
        <v>1341</v>
      </c>
    </row>
    <row r="553" spans="74:79" x14ac:dyDescent="0.25">
      <c r="BV553" s="255" t="str">
        <f t="shared" si="146"/>
        <v>F.LL.10_14T.1200102</v>
      </c>
      <c r="BW553" s="32" t="s">
        <v>114</v>
      </c>
      <c r="BX553" s="32" t="s">
        <v>731</v>
      </c>
      <c r="BY553" s="32" t="s">
        <v>718</v>
      </c>
      <c r="BZ553" s="32">
        <v>1200102</v>
      </c>
      <c r="CA553" s="32">
        <v>1467</v>
      </c>
    </row>
    <row r="554" spans="74:79" x14ac:dyDescent="0.25">
      <c r="BV554" s="255" t="str">
        <f t="shared" si="146"/>
        <v>F.LL.11_12T.1200102</v>
      </c>
      <c r="BW554" s="32" t="s">
        <v>114</v>
      </c>
      <c r="BX554" s="32" t="s">
        <v>731</v>
      </c>
      <c r="BY554" s="32" t="s">
        <v>714</v>
      </c>
      <c r="BZ554" s="32">
        <v>1200102</v>
      </c>
      <c r="CA554" s="32">
        <v>1330</v>
      </c>
    </row>
    <row r="555" spans="74:79" x14ac:dyDescent="0.25">
      <c r="BV555" s="255" t="str">
        <f t="shared" si="146"/>
        <v>F.LL.11_13T.1200102</v>
      </c>
      <c r="BW555" s="32" t="s">
        <v>114</v>
      </c>
      <c r="BX555" s="32" t="s">
        <v>731</v>
      </c>
      <c r="BY555" s="32" t="s">
        <v>716</v>
      </c>
      <c r="BZ555" s="32">
        <v>1200102</v>
      </c>
      <c r="CA555" s="32">
        <v>1341</v>
      </c>
    </row>
    <row r="556" spans="74:79" x14ac:dyDescent="0.25">
      <c r="BV556" s="255" t="str">
        <f t="shared" si="146"/>
        <v>F.LL.11_14T.1200102</v>
      </c>
      <c r="BW556" s="32" t="s">
        <v>114</v>
      </c>
      <c r="BX556" s="32" t="s">
        <v>731</v>
      </c>
      <c r="BY556" s="32" t="s">
        <v>719</v>
      </c>
      <c r="BZ556" s="32">
        <v>1200102</v>
      </c>
      <c r="CA556" s="32">
        <v>1467</v>
      </c>
    </row>
    <row r="557" spans="74:79" x14ac:dyDescent="0.25">
      <c r="BV557" s="255" t="str">
        <f t="shared" si="146"/>
        <v>F.LL.12_13T.1200102</v>
      </c>
      <c r="BW557" s="32" t="s">
        <v>114</v>
      </c>
      <c r="BX557" s="32" t="s">
        <v>731</v>
      </c>
      <c r="BY557" s="32" t="s">
        <v>717</v>
      </c>
      <c r="BZ557" s="32">
        <v>1200102</v>
      </c>
      <c r="CA557" s="32">
        <v>1341</v>
      </c>
    </row>
    <row r="558" spans="74:79" x14ac:dyDescent="0.25">
      <c r="BV558" s="255" t="str">
        <f t="shared" si="146"/>
        <v>F.LL.12_14T.1200102</v>
      </c>
      <c r="BW558" s="32" t="s">
        <v>114</v>
      </c>
      <c r="BX558" s="32" t="s">
        <v>731</v>
      </c>
      <c r="BY558" s="32" t="s">
        <v>720</v>
      </c>
      <c r="BZ558" s="32">
        <v>1200102</v>
      </c>
      <c r="CA558" s="32">
        <v>1467</v>
      </c>
    </row>
    <row r="559" spans="74:79" x14ac:dyDescent="0.25">
      <c r="BV559" s="255" t="str">
        <f t="shared" si="146"/>
        <v>F.LL.12_15T.1200102</v>
      </c>
      <c r="BW559" s="32" t="s">
        <v>114</v>
      </c>
      <c r="BX559" s="32" t="s">
        <v>731</v>
      </c>
      <c r="BY559" s="32" t="s">
        <v>723</v>
      </c>
      <c r="BZ559" s="32">
        <v>1200102</v>
      </c>
      <c r="CA559" s="32">
        <v>1530</v>
      </c>
    </row>
    <row r="560" spans="74:79" x14ac:dyDescent="0.25">
      <c r="BV560" s="255" t="str">
        <f t="shared" si="146"/>
        <v>F.LL.13_14T.1200102</v>
      </c>
      <c r="BW560" s="32" t="s">
        <v>114</v>
      </c>
      <c r="BX560" s="32" t="s">
        <v>731</v>
      </c>
      <c r="BY560" s="32" t="s">
        <v>721</v>
      </c>
      <c r="BZ560" s="32">
        <v>1200102</v>
      </c>
      <c r="CA560" s="32">
        <v>1467</v>
      </c>
    </row>
    <row r="561" spans="74:79" x14ac:dyDescent="0.25">
      <c r="BV561" s="255" t="str">
        <f t="shared" si="146"/>
        <v>F.LL.13_15T.1200102</v>
      </c>
      <c r="BW561" s="32" t="s">
        <v>114</v>
      </c>
      <c r="BX561" s="32" t="s">
        <v>731</v>
      </c>
      <c r="BY561" s="32" t="s">
        <v>724</v>
      </c>
      <c r="BZ561" s="32">
        <v>1200102</v>
      </c>
      <c r="CA561" s="32">
        <v>1530</v>
      </c>
    </row>
    <row r="562" spans="74:79" x14ac:dyDescent="0.25">
      <c r="BV562" s="255" t="str">
        <f t="shared" si="146"/>
        <v>F.LL.13_16T.1200102</v>
      </c>
      <c r="BW562" s="32" t="s">
        <v>114</v>
      </c>
      <c r="BX562" s="32" t="s">
        <v>731</v>
      </c>
      <c r="BY562" s="32" t="s">
        <v>726</v>
      </c>
      <c r="BZ562" s="32">
        <v>1200102</v>
      </c>
      <c r="CA562" s="32">
        <v>1609</v>
      </c>
    </row>
    <row r="563" spans="74:79" x14ac:dyDescent="0.25">
      <c r="BV563" s="255" t="str">
        <f t="shared" si="146"/>
        <v>F.LL.14_14T.1200102</v>
      </c>
      <c r="BW563" s="32" t="s">
        <v>114</v>
      </c>
      <c r="BX563" s="32" t="s">
        <v>731</v>
      </c>
      <c r="BY563" s="32" t="s">
        <v>722</v>
      </c>
      <c r="BZ563" s="32">
        <v>1200102</v>
      </c>
      <c r="CA563" s="32">
        <v>1467</v>
      </c>
    </row>
    <row r="564" spans="74:79" x14ac:dyDescent="0.25">
      <c r="BV564" s="255" t="str">
        <f t="shared" si="146"/>
        <v>F.LL.14_15T.1200102</v>
      </c>
      <c r="BW564" s="32" t="s">
        <v>114</v>
      </c>
      <c r="BX564" s="32" t="s">
        <v>731</v>
      </c>
      <c r="BY564" s="32" t="s">
        <v>725</v>
      </c>
      <c r="BZ564" s="32">
        <v>1200102</v>
      </c>
      <c r="CA564" s="32">
        <v>1530</v>
      </c>
    </row>
    <row r="565" spans="74:79" x14ac:dyDescent="0.25">
      <c r="BV565" s="255" t="str">
        <f t="shared" si="146"/>
        <v>F.LL.14_16T.1200102</v>
      </c>
      <c r="BW565" s="32" t="s">
        <v>114</v>
      </c>
      <c r="BX565" s="32" t="s">
        <v>731</v>
      </c>
      <c r="BY565" s="32" t="s">
        <v>727</v>
      </c>
      <c r="BZ565" s="32">
        <v>1200102</v>
      </c>
      <c r="CA565" s="32">
        <v>1609</v>
      </c>
    </row>
    <row r="566" spans="74:79" x14ac:dyDescent="0.25">
      <c r="BV566" s="255" t="str">
        <f t="shared" si="146"/>
        <v>F.LL.15_16T.1200102</v>
      </c>
      <c r="BW566" s="32" t="s">
        <v>114</v>
      </c>
      <c r="BX566" s="32" t="s">
        <v>731</v>
      </c>
      <c r="BY566" s="32" t="s">
        <v>728</v>
      </c>
      <c r="BZ566" s="32">
        <v>1200102</v>
      </c>
      <c r="CA566" s="32">
        <v>1609</v>
      </c>
    </row>
    <row r="567" spans="74:79" x14ac:dyDescent="0.25">
      <c r="BV567" s="255" t="str">
        <f t="shared" si="146"/>
        <v>F.LL.16_16T.1200102</v>
      </c>
      <c r="BW567" s="32" t="s">
        <v>114</v>
      </c>
      <c r="BX567" s="32" t="s">
        <v>731</v>
      </c>
      <c r="BY567" s="32" t="s">
        <v>729</v>
      </c>
      <c r="BZ567" s="32">
        <v>1200102</v>
      </c>
      <c r="CA567" s="32">
        <v>1609</v>
      </c>
    </row>
    <row r="568" spans="74:79" x14ac:dyDescent="0.25">
      <c r="BV568" s="255" t="str">
        <f t="shared" si="146"/>
        <v>F.LL.7_10T.1200102</v>
      </c>
      <c r="BW568" s="32" t="s">
        <v>114</v>
      </c>
      <c r="BX568" s="32" t="s">
        <v>731</v>
      </c>
      <c r="BY568" s="32" t="s">
        <v>668</v>
      </c>
      <c r="BZ568" s="32">
        <v>1200102</v>
      </c>
      <c r="CA568" s="32">
        <v>1446</v>
      </c>
    </row>
    <row r="569" spans="74:79" x14ac:dyDescent="0.25">
      <c r="BV569" s="255" t="str">
        <f t="shared" si="146"/>
        <v>F.LL.7H_10T.1200102</v>
      </c>
      <c r="BW569" s="32" t="s">
        <v>114</v>
      </c>
      <c r="BX569" s="32" t="s">
        <v>731</v>
      </c>
      <c r="BY569" s="32" t="s">
        <v>674</v>
      </c>
      <c r="BZ569" s="32">
        <v>1200102</v>
      </c>
      <c r="CA569" s="32">
        <v>1446</v>
      </c>
    </row>
    <row r="570" spans="74:79" x14ac:dyDescent="0.25">
      <c r="BV570" s="255" t="str">
        <f t="shared" si="146"/>
        <v>F.LL.8_10T.1200102</v>
      </c>
      <c r="BW570" s="32" t="s">
        <v>114</v>
      </c>
      <c r="BX570" s="32" t="s">
        <v>731</v>
      </c>
      <c r="BY570" s="32" t="s">
        <v>669</v>
      </c>
      <c r="BZ570" s="32">
        <v>1200102</v>
      </c>
      <c r="CA570" s="32">
        <v>1446</v>
      </c>
    </row>
    <row r="571" spans="74:79" x14ac:dyDescent="0.25">
      <c r="BV571" s="255" t="str">
        <f t="shared" si="146"/>
        <v>F.LL.8_12T.1200102</v>
      </c>
      <c r="BW571" s="32" t="s">
        <v>114</v>
      </c>
      <c r="BX571" s="32" t="s">
        <v>731</v>
      </c>
      <c r="BY571" s="32" t="s">
        <v>671</v>
      </c>
      <c r="BZ571" s="32">
        <v>1200102</v>
      </c>
      <c r="CA571" s="32">
        <v>1330</v>
      </c>
    </row>
    <row r="572" spans="74:79" x14ac:dyDescent="0.25">
      <c r="BV572" s="255" t="str">
        <f t="shared" si="146"/>
        <v>F.LL.9_10T.1200102</v>
      </c>
      <c r="BW572" s="32" t="s">
        <v>114</v>
      </c>
      <c r="BX572" s="32" t="s">
        <v>731</v>
      </c>
      <c r="BY572" s="32" t="s">
        <v>670</v>
      </c>
      <c r="BZ572" s="32">
        <v>1200102</v>
      </c>
      <c r="CA572" s="32">
        <v>1446</v>
      </c>
    </row>
    <row r="573" spans="74:79" x14ac:dyDescent="0.25">
      <c r="BV573" s="255" t="str">
        <f t="shared" si="146"/>
        <v>F.LL.9_12T.1200102</v>
      </c>
      <c r="BW573" s="32" t="s">
        <v>114</v>
      </c>
      <c r="BX573" s="32" t="s">
        <v>731</v>
      </c>
      <c r="BY573" s="32" t="s">
        <v>672</v>
      </c>
      <c r="BZ573" s="32">
        <v>1200102</v>
      </c>
      <c r="CA573" s="32">
        <v>1330</v>
      </c>
    </row>
    <row r="574" spans="74:79" x14ac:dyDescent="0.25">
      <c r="BV574" s="255" t="str">
        <f t="shared" si="146"/>
        <v>F.LL.9_13T.1200102</v>
      </c>
      <c r="BW574" s="32" t="s">
        <v>114</v>
      </c>
      <c r="BX574" s="32" t="s">
        <v>731</v>
      </c>
      <c r="BY574" s="32" t="s">
        <v>673</v>
      </c>
      <c r="BZ574" s="32">
        <v>1200102</v>
      </c>
      <c r="CA574" s="32">
        <v>1341</v>
      </c>
    </row>
    <row r="575" spans="74:79" x14ac:dyDescent="0.25">
      <c r="BV575" s="255" t="str">
        <f t="shared" si="146"/>
        <v>F.LL.9_14T.1200102</v>
      </c>
      <c r="BW575" s="32" t="s">
        <v>114</v>
      </c>
      <c r="BX575" s="32" t="s">
        <v>731</v>
      </c>
      <c r="BY575" s="32" t="s">
        <v>737</v>
      </c>
      <c r="BZ575" s="32">
        <v>1200102</v>
      </c>
      <c r="CA575" s="32">
        <v>1467</v>
      </c>
    </row>
    <row r="576" spans="74:79" x14ac:dyDescent="0.25">
      <c r="BV576" s="255" t="str">
        <f t="shared" si="146"/>
        <v>F.LM.12_18B.1200102</v>
      </c>
      <c r="BW576" s="32" t="s">
        <v>114</v>
      </c>
      <c r="BX576" s="32" t="s">
        <v>398</v>
      </c>
      <c r="BY576" s="32" t="s">
        <v>683</v>
      </c>
      <c r="BZ576" s="32">
        <v>1200102</v>
      </c>
      <c r="CA576" s="32">
        <v>2546</v>
      </c>
    </row>
    <row r="577" spans="74:79" x14ac:dyDescent="0.25">
      <c r="BV577" s="255" t="str">
        <f t="shared" si="146"/>
        <v>F.LM.12_20B.1200102</v>
      </c>
      <c r="BW577" s="32" t="s">
        <v>114</v>
      </c>
      <c r="BX577" s="32" t="s">
        <v>398</v>
      </c>
      <c r="BY577" s="32" t="s">
        <v>686</v>
      </c>
      <c r="BZ577" s="32">
        <v>1200102</v>
      </c>
      <c r="CA577" s="32">
        <v>2567</v>
      </c>
    </row>
    <row r="578" spans="74:79" x14ac:dyDescent="0.25">
      <c r="BV578" s="255" t="str">
        <f t="shared" si="146"/>
        <v>F.LM.12_22B.1200102</v>
      </c>
      <c r="BW578" s="32" t="s">
        <v>114</v>
      </c>
      <c r="BX578" s="32" t="s">
        <v>398</v>
      </c>
      <c r="BY578" s="32" t="s">
        <v>690</v>
      </c>
      <c r="BZ578" s="32">
        <v>1200102</v>
      </c>
      <c r="CA578" s="32">
        <v>2577</v>
      </c>
    </row>
    <row r="579" spans="74:79" x14ac:dyDescent="0.25">
      <c r="BV579" s="255" t="str">
        <f t="shared" si="146"/>
        <v>F.LM.12_24B.1200102</v>
      </c>
      <c r="BW579" s="32" t="s">
        <v>114</v>
      </c>
      <c r="BX579" s="32" t="s">
        <v>398</v>
      </c>
      <c r="BY579" s="32" t="s">
        <v>695</v>
      </c>
      <c r="BZ579" s="32">
        <v>1200102</v>
      </c>
      <c r="CA579" s="32">
        <v>2719</v>
      </c>
    </row>
    <row r="580" spans="74:79" x14ac:dyDescent="0.25">
      <c r="BV580" s="255" t="str">
        <f t="shared" si="146"/>
        <v>F.LM.12_26B.1200102</v>
      </c>
      <c r="BW580" s="32" t="s">
        <v>114</v>
      </c>
      <c r="BX580" s="32" t="s">
        <v>398</v>
      </c>
      <c r="BY580" s="32" t="s">
        <v>700</v>
      </c>
      <c r="BZ580" s="32">
        <v>1200102</v>
      </c>
      <c r="CA580" s="32">
        <v>2740</v>
      </c>
    </row>
    <row r="581" spans="74:79" x14ac:dyDescent="0.25">
      <c r="BV581" s="255" t="str">
        <f t="shared" si="146"/>
        <v>F.LM.14_18B.1200102</v>
      </c>
      <c r="BW581" s="32" t="s">
        <v>114</v>
      </c>
      <c r="BX581" s="32" t="s">
        <v>398</v>
      </c>
      <c r="BY581" s="32" t="s">
        <v>684</v>
      </c>
      <c r="BZ581" s="32">
        <v>1200102</v>
      </c>
      <c r="CA581" s="32">
        <v>2546</v>
      </c>
    </row>
    <row r="582" spans="74:79" x14ac:dyDescent="0.25">
      <c r="BV582" s="255" t="str">
        <f t="shared" si="146"/>
        <v>F.LM.14_20B.1200102</v>
      </c>
      <c r="BW582" s="32" t="s">
        <v>114</v>
      </c>
      <c r="BX582" s="32" t="s">
        <v>398</v>
      </c>
      <c r="BY582" s="32" t="s">
        <v>687</v>
      </c>
      <c r="BZ582" s="32">
        <v>1200102</v>
      </c>
      <c r="CA582" s="32">
        <v>2567</v>
      </c>
    </row>
    <row r="583" spans="74:79" x14ac:dyDescent="0.25">
      <c r="BV583" s="255" t="str">
        <f t="shared" si="146"/>
        <v>F.LM.14_22B.1200102</v>
      </c>
      <c r="BW583" s="32" t="s">
        <v>114</v>
      </c>
      <c r="BX583" s="32" t="s">
        <v>398</v>
      </c>
      <c r="BY583" s="32" t="s">
        <v>691</v>
      </c>
      <c r="BZ583" s="32">
        <v>1200102</v>
      </c>
      <c r="CA583" s="32">
        <v>2577</v>
      </c>
    </row>
    <row r="584" spans="74:79" x14ac:dyDescent="0.25">
      <c r="BV584" s="255" t="str">
        <f t="shared" si="146"/>
        <v>F.LM.14_24B.1200102</v>
      </c>
      <c r="BW584" s="32" t="s">
        <v>114</v>
      </c>
      <c r="BX584" s="32" t="s">
        <v>398</v>
      </c>
      <c r="BY584" s="32" t="s">
        <v>696</v>
      </c>
      <c r="BZ584" s="32">
        <v>1200102</v>
      </c>
      <c r="CA584" s="32">
        <v>2719</v>
      </c>
    </row>
    <row r="585" spans="74:79" x14ac:dyDescent="0.25">
      <c r="BV585" s="255" t="str">
        <f t="shared" si="146"/>
        <v>F.LM.14_26B.1200102</v>
      </c>
      <c r="BW585" s="32" t="s">
        <v>114</v>
      </c>
      <c r="BX585" s="32" t="s">
        <v>398</v>
      </c>
      <c r="BY585" s="32" t="s">
        <v>701</v>
      </c>
      <c r="BZ585" s="32">
        <v>1200102</v>
      </c>
      <c r="CA585" s="32">
        <v>2740</v>
      </c>
    </row>
    <row r="586" spans="74:79" x14ac:dyDescent="0.25">
      <c r="BV586" s="255" t="str">
        <f t="shared" si="146"/>
        <v>F.LM.16_18B.1200102</v>
      </c>
      <c r="BW586" s="32" t="s">
        <v>114</v>
      </c>
      <c r="BX586" s="32" t="s">
        <v>398</v>
      </c>
      <c r="BY586" s="32" t="s">
        <v>685</v>
      </c>
      <c r="BZ586" s="32">
        <v>1200102</v>
      </c>
      <c r="CA586" s="32">
        <v>2546</v>
      </c>
    </row>
    <row r="587" spans="74:79" x14ac:dyDescent="0.25">
      <c r="BV587" s="255" t="str">
        <f t="shared" si="146"/>
        <v>F.LM.16_20B.1200102</v>
      </c>
      <c r="BW587" s="32" t="s">
        <v>114</v>
      </c>
      <c r="BX587" s="32" t="s">
        <v>398</v>
      </c>
      <c r="BY587" s="32" t="s">
        <v>688</v>
      </c>
      <c r="BZ587" s="32">
        <v>1200102</v>
      </c>
      <c r="CA587" s="32">
        <v>2567</v>
      </c>
    </row>
    <row r="588" spans="74:79" x14ac:dyDescent="0.25">
      <c r="BV588" s="255" t="str">
        <f t="shared" si="146"/>
        <v>F.LM.16_22B.1200102</v>
      </c>
      <c r="BW588" s="32" t="s">
        <v>114</v>
      </c>
      <c r="BX588" s="32" t="s">
        <v>398</v>
      </c>
      <c r="BY588" s="32" t="s">
        <v>692</v>
      </c>
      <c r="BZ588" s="32">
        <v>1200102</v>
      </c>
      <c r="CA588" s="32">
        <v>2577</v>
      </c>
    </row>
    <row r="589" spans="74:79" x14ac:dyDescent="0.25">
      <c r="BV589" s="255" t="str">
        <f t="shared" si="146"/>
        <v>F.LM.16_24B.1200102</v>
      </c>
      <c r="BW589" s="32" t="s">
        <v>114</v>
      </c>
      <c r="BX589" s="32" t="s">
        <v>398</v>
      </c>
      <c r="BY589" s="32" t="s">
        <v>697</v>
      </c>
      <c r="BZ589" s="32">
        <v>1200102</v>
      </c>
      <c r="CA589" s="32">
        <v>2719</v>
      </c>
    </row>
    <row r="590" spans="74:79" x14ac:dyDescent="0.25">
      <c r="BV590" s="255" t="str">
        <f t="shared" si="146"/>
        <v>F.LM.16_26B.1200102</v>
      </c>
      <c r="BW590" s="32" t="s">
        <v>114</v>
      </c>
      <c r="BX590" s="32" t="s">
        <v>398</v>
      </c>
      <c r="BY590" s="32" t="s">
        <v>702</v>
      </c>
      <c r="BZ590" s="32">
        <v>1200102</v>
      </c>
      <c r="CA590" s="32">
        <v>2740</v>
      </c>
    </row>
    <row r="591" spans="74:79" x14ac:dyDescent="0.25">
      <c r="BV591" s="255" t="str">
        <f t="shared" si="146"/>
        <v>F.LM.18_20B.1200102</v>
      </c>
      <c r="BW591" s="32" t="s">
        <v>114</v>
      </c>
      <c r="BX591" s="32" t="s">
        <v>398</v>
      </c>
      <c r="BY591" s="32" t="s">
        <v>689</v>
      </c>
      <c r="BZ591" s="32">
        <v>1200102</v>
      </c>
      <c r="CA591" s="32">
        <v>2567</v>
      </c>
    </row>
    <row r="592" spans="74:79" x14ac:dyDescent="0.25">
      <c r="BV592" s="255" t="str">
        <f t="shared" si="146"/>
        <v>F.LM.18_22B.1200102</v>
      </c>
      <c r="BW592" s="32" t="s">
        <v>114</v>
      </c>
      <c r="BX592" s="32" t="s">
        <v>398</v>
      </c>
      <c r="BY592" s="32" t="s">
        <v>693</v>
      </c>
      <c r="BZ592" s="32">
        <v>1200102</v>
      </c>
      <c r="CA592" s="32">
        <v>2577</v>
      </c>
    </row>
    <row r="593" spans="74:79" x14ac:dyDescent="0.25">
      <c r="BV593" s="255" t="str">
        <f t="shared" si="146"/>
        <v>F.LM.18_24B.1200102</v>
      </c>
      <c r="BW593" s="32" t="s">
        <v>114</v>
      </c>
      <c r="BX593" s="32" t="s">
        <v>398</v>
      </c>
      <c r="BY593" s="32" t="s">
        <v>698</v>
      </c>
      <c r="BZ593" s="32">
        <v>1200102</v>
      </c>
      <c r="CA593" s="32">
        <v>2719</v>
      </c>
    </row>
    <row r="594" spans="74:79" x14ac:dyDescent="0.25">
      <c r="BV594" s="255" t="str">
        <f t="shared" si="146"/>
        <v>F.LM.20_20B.1200102</v>
      </c>
      <c r="BW594" s="32" t="s">
        <v>114</v>
      </c>
      <c r="BX594" s="32" t="s">
        <v>398</v>
      </c>
      <c r="BY594" s="32" t="s">
        <v>738</v>
      </c>
      <c r="BZ594" s="32">
        <v>1200102</v>
      </c>
      <c r="CA594" s="32">
        <v>2567</v>
      </c>
    </row>
    <row r="595" spans="74:79" x14ac:dyDescent="0.25">
      <c r="BV595" s="255" t="str">
        <f t="shared" si="146"/>
        <v>F.LM.20_22B.1200102</v>
      </c>
      <c r="BW595" s="32" t="s">
        <v>114</v>
      </c>
      <c r="BX595" s="32" t="s">
        <v>398</v>
      </c>
      <c r="BY595" s="32" t="s">
        <v>694</v>
      </c>
      <c r="BZ595" s="32">
        <v>1200102</v>
      </c>
      <c r="CA595" s="32">
        <v>2577</v>
      </c>
    </row>
    <row r="596" spans="74:79" x14ac:dyDescent="0.25">
      <c r="BV596" s="255" t="str">
        <f t="shared" si="146"/>
        <v>F.LM.20_24B.1200102</v>
      </c>
      <c r="BW596" s="32" t="s">
        <v>114</v>
      </c>
      <c r="BX596" s="32" t="s">
        <v>398</v>
      </c>
      <c r="BY596" s="32" t="s">
        <v>699</v>
      </c>
      <c r="BZ596" s="32">
        <v>1200102</v>
      </c>
      <c r="CA596" s="32">
        <v>2719</v>
      </c>
    </row>
    <row r="597" spans="74:79" x14ac:dyDescent="0.25">
      <c r="BV597" s="255" t="str">
        <f t="shared" si="146"/>
        <v>F.LM.12_14F.1200102</v>
      </c>
      <c r="BW597" s="32" t="s">
        <v>114</v>
      </c>
      <c r="BX597" s="32" t="s">
        <v>398</v>
      </c>
      <c r="BY597" s="32" t="s">
        <v>703</v>
      </c>
      <c r="BZ597" s="32">
        <v>1200102</v>
      </c>
      <c r="CA597" s="32">
        <v>1590</v>
      </c>
    </row>
    <row r="598" spans="74:79" x14ac:dyDescent="0.25">
      <c r="BV598" s="255" t="str">
        <f t="shared" ref="BV598:BV661" si="147">CONCATENATE(BW598,".",BX598,".",BY598,".",BZ598)</f>
        <v>F.LM.13_14F.1200102</v>
      </c>
      <c r="BW598" s="32" t="s">
        <v>114</v>
      </c>
      <c r="BX598" s="32" t="s">
        <v>398</v>
      </c>
      <c r="BY598" s="32" t="s">
        <v>704</v>
      </c>
      <c r="BZ598" s="32">
        <v>1200102</v>
      </c>
      <c r="CA598" s="32">
        <v>1590</v>
      </c>
    </row>
    <row r="599" spans="74:79" x14ac:dyDescent="0.25">
      <c r="BV599" s="255" t="str">
        <f t="shared" si="147"/>
        <v>F.LM.13_15F.1200102</v>
      </c>
      <c r="BW599" s="32" t="s">
        <v>114</v>
      </c>
      <c r="BX599" s="32" t="s">
        <v>398</v>
      </c>
      <c r="BY599" s="32" t="s">
        <v>706</v>
      </c>
      <c r="BZ599" s="32">
        <v>1200102</v>
      </c>
      <c r="CA599" s="32">
        <v>1652</v>
      </c>
    </row>
    <row r="600" spans="74:79" x14ac:dyDescent="0.25">
      <c r="BV600" s="255" t="str">
        <f t="shared" si="147"/>
        <v>F.LM.13_16F.1200102</v>
      </c>
      <c r="BW600" s="32" t="s">
        <v>114</v>
      </c>
      <c r="BX600" s="32" t="s">
        <v>398</v>
      </c>
      <c r="BY600" s="32" t="s">
        <v>708</v>
      </c>
      <c r="BZ600" s="32">
        <v>1200102</v>
      </c>
      <c r="CA600" s="32">
        <v>1681</v>
      </c>
    </row>
    <row r="601" spans="74:79" x14ac:dyDescent="0.25">
      <c r="BV601" s="255" t="str">
        <f t="shared" si="147"/>
        <v>F.LM.14_14F.1200102</v>
      </c>
      <c r="BW601" s="32" t="s">
        <v>114</v>
      </c>
      <c r="BX601" s="32" t="s">
        <v>398</v>
      </c>
      <c r="BY601" s="32" t="s">
        <v>705</v>
      </c>
      <c r="BZ601" s="32">
        <v>1200102</v>
      </c>
      <c r="CA601" s="32">
        <v>1590</v>
      </c>
    </row>
    <row r="602" spans="74:79" x14ac:dyDescent="0.25">
      <c r="BV602" s="255" t="str">
        <f t="shared" si="147"/>
        <v>F.LM.14_15F.1200102</v>
      </c>
      <c r="BW602" s="32" t="s">
        <v>114</v>
      </c>
      <c r="BX602" s="32" t="s">
        <v>398</v>
      </c>
      <c r="BY602" s="32" t="s">
        <v>707</v>
      </c>
      <c r="BZ602" s="32">
        <v>1200102</v>
      </c>
      <c r="CA602" s="32">
        <v>1652</v>
      </c>
    </row>
    <row r="603" spans="74:79" x14ac:dyDescent="0.25">
      <c r="BV603" s="255" t="str">
        <f t="shared" si="147"/>
        <v>F.LM.14_16F.1200102</v>
      </c>
      <c r="BW603" s="32" t="s">
        <v>114</v>
      </c>
      <c r="BX603" s="32" t="s">
        <v>398</v>
      </c>
      <c r="BY603" s="32" t="s">
        <v>709</v>
      </c>
      <c r="BZ603" s="32">
        <v>1200102</v>
      </c>
      <c r="CA603" s="32">
        <v>1681</v>
      </c>
    </row>
    <row r="604" spans="74:79" x14ac:dyDescent="0.25">
      <c r="BV604" s="255" t="str">
        <f t="shared" si="147"/>
        <v>F.LM.15_16F.1200102</v>
      </c>
      <c r="BW604" s="32" t="s">
        <v>114</v>
      </c>
      <c r="BX604" s="32" t="s">
        <v>398</v>
      </c>
      <c r="BY604" s="32" t="s">
        <v>710</v>
      </c>
      <c r="BZ604" s="32">
        <v>1200102</v>
      </c>
      <c r="CA604" s="32">
        <v>1681</v>
      </c>
    </row>
    <row r="605" spans="74:79" x14ac:dyDescent="0.25">
      <c r="BV605" s="255" t="str">
        <f t="shared" si="147"/>
        <v>F.LM.16_16F.1200102</v>
      </c>
      <c r="BW605" s="32" t="s">
        <v>114</v>
      </c>
      <c r="BX605" s="32" t="s">
        <v>398</v>
      </c>
      <c r="BY605" s="32" t="s">
        <v>711</v>
      </c>
      <c r="BZ605" s="32">
        <v>1200102</v>
      </c>
      <c r="CA605" s="32">
        <v>1681</v>
      </c>
    </row>
    <row r="606" spans="74:79" x14ac:dyDescent="0.25">
      <c r="BV606" s="255" t="str">
        <f t="shared" si="147"/>
        <v>F.LM.16_18F.1200102</v>
      </c>
      <c r="BW606" s="32" t="s">
        <v>114</v>
      </c>
      <c r="BX606" s="32" t="s">
        <v>398</v>
      </c>
      <c r="BY606" s="32" t="s">
        <v>712</v>
      </c>
      <c r="BZ606" s="32">
        <v>1200102</v>
      </c>
      <c r="CA606" s="32">
        <v>1817</v>
      </c>
    </row>
    <row r="607" spans="74:79" x14ac:dyDescent="0.25">
      <c r="BV607" s="255" t="str">
        <f t="shared" si="147"/>
        <v>F.LM.10_14S.1200102</v>
      </c>
      <c r="BW607" s="32" t="s">
        <v>114</v>
      </c>
      <c r="BX607" s="32" t="s">
        <v>398</v>
      </c>
      <c r="BY607" s="32" t="s">
        <v>733</v>
      </c>
      <c r="BZ607" s="32">
        <v>1200102</v>
      </c>
      <c r="CA607" s="32">
        <v>1180</v>
      </c>
    </row>
    <row r="608" spans="74:79" x14ac:dyDescent="0.25">
      <c r="BV608" s="255" t="str">
        <f t="shared" si="147"/>
        <v>F.LM.4_14S.1200102</v>
      </c>
      <c r="BW608" s="32" t="s">
        <v>114</v>
      </c>
      <c r="BX608" s="32" t="s">
        <v>398</v>
      </c>
      <c r="BY608" s="32" t="s">
        <v>739</v>
      </c>
      <c r="BZ608" s="32">
        <v>1200102</v>
      </c>
      <c r="CA608" s="32">
        <v>1022</v>
      </c>
    </row>
    <row r="609" spans="74:79" x14ac:dyDescent="0.25">
      <c r="BV609" s="255" t="str">
        <f t="shared" si="147"/>
        <v>F.LM.4_14x8S.1200102</v>
      </c>
      <c r="BW609" s="32" t="s">
        <v>114</v>
      </c>
      <c r="BX609" s="32" t="s">
        <v>398</v>
      </c>
      <c r="BY609" s="32" t="s">
        <v>740</v>
      </c>
      <c r="BZ609" s="32">
        <v>1200102</v>
      </c>
      <c r="CA609" s="32">
        <v>1022</v>
      </c>
    </row>
    <row r="610" spans="74:79" x14ac:dyDescent="0.25">
      <c r="BV610" s="255" t="str">
        <f t="shared" si="147"/>
        <v>F.LM.5_14S.1200102</v>
      </c>
      <c r="BW610" s="32" t="s">
        <v>114</v>
      </c>
      <c r="BX610" s="32" t="s">
        <v>398</v>
      </c>
      <c r="BY610" s="32" t="s">
        <v>677</v>
      </c>
      <c r="BZ610" s="32">
        <v>1200102</v>
      </c>
      <c r="CA610" s="32">
        <v>1022</v>
      </c>
    </row>
    <row r="611" spans="74:79" x14ac:dyDescent="0.25">
      <c r="BV611" s="255" t="str">
        <f t="shared" si="147"/>
        <v>F.LM.5_14x8S.1200102</v>
      </c>
      <c r="BW611" s="32" t="s">
        <v>114</v>
      </c>
      <c r="BX611" s="32" t="s">
        <v>398</v>
      </c>
      <c r="BY611" s="32" t="s">
        <v>681</v>
      </c>
      <c r="BZ611" s="32">
        <v>1200102</v>
      </c>
      <c r="CA611" s="32">
        <v>1022</v>
      </c>
    </row>
    <row r="612" spans="74:79" x14ac:dyDescent="0.25">
      <c r="BV612" s="255" t="str">
        <f t="shared" si="147"/>
        <v>F.LM.5H_14S.1200102</v>
      </c>
      <c r="BW612" s="32" t="s">
        <v>114</v>
      </c>
      <c r="BX612" s="32" t="s">
        <v>398</v>
      </c>
      <c r="BY612" s="32" t="s">
        <v>1208</v>
      </c>
      <c r="BZ612" s="32">
        <v>1200102</v>
      </c>
      <c r="CA612" s="32">
        <v>1048</v>
      </c>
    </row>
    <row r="613" spans="74:79" x14ac:dyDescent="0.25">
      <c r="BV613" s="255" t="str">
        <f t="shared" si="147"/>
        <v>F.LM.5H_14x8S.1200102</v>
      </c>
      <c r="BW613" s="32" t="s">
        <v>114</v>
      </c>
      <c r="BX613" s="32" t="s">
        <v>398</v>
      </c>
      <c r="BY613" s="32" t="s">
        <v>1209</v>
      </c>
      <c r="BZ613" s="32">
        <v>1200102</v>
      </c>
      <c r="CA613" s="32">
        <v>1048</v>
      </c>
    </row>
    <row r="614" spans="74:79" x14ac:dyDescent="0.25">
      <c r="BV614" s="255" t="str">
        <f t="shared" si="147"/>
        <v>F.LM.6_12S.1200102</v>
      </c>
      <c r="BW614" s="32" t="s">
        <v>114</v>
      </c>
      <c r="BX614" s="32" t="s">
        <v>398</v>
      </c>
      <c r="BY614" s="32" t="s">
        <v>675</v>
      </c>
      <c r="BZ614" s="32">
        <v>1200102</v>
      </c>
      <c r="CA614" s="32">
        <v>1033</v>
      </c>
    </row>
    <row r="615" spans="74:79" x14ac:dyDescent="0.25">
      <c r="BV615" s="255" t="str">
        <f t="shared" si="147"/>
        <v>F.LM.6_13S.1200102</v>
      </c>
      <c r="BW615" s="32" t="s">
        <v>114</v>
      </c>
      <c r="BX615" s="32" t="s">
        <v>398</v>
      </c>
      <c r="BY615" s="32" t="s">
        <v>676</v>
      </c>
      <c r="BZ615" s="32">
        <v>1200102</v>
      </c>
      <c r="CA615" s="32">
        <v>1061</v>
      </c>
    </row>
    <row r="616" spans="74:79" x14ac:dyDescent="0.25">
      <c r="BV616" s="255" t="str">
        <f t="shared" si="147"/>
        <v>F.LM.6H_14S.1200102</v>
      </c>
      <c r="BW616" s="32" t="s">
        <v>114</v>
      </c>
      <c r="BX616" s="32" t="s">
        <v>398</v>
      </c>
      <c r="BY616" s="32" t="s">
        <v>680</v>
      </c>
      <c r="BZ616" s="32">
        <v>1200102</v>
      </c>
      <c r="CA616" s="32">
        <v>1101</v>
      </c>
    </row>
    <row r="617" spans="74:79" x14ac:dyDescent="0.25">
      <c r="BV617" s="255" t="str">
        <f t="shared" si="147"/>
        <v>F.LM.6H_14x8S.1200102</v>
      </c>
      <c r="BW617" s="32" t="s">
        <v>114</v>
      </c>
      <c r="BX617" s="32" t="s">
        <v>398</v>
      </c>
      <c r="BY617" s="32" t="s">
        <v>682</v>
      </c>
      <c r="BZ617" s="32">
        <v>1200102</v>
      </c>
      <c r="CA617" s="32">
        <v>1101</v>
      </c>
    </row>
    <row r="618" spans="74:79" x14ac:dyDescent="0.25">
      <c r="BV618" s="255" t="str">
        <f t="shared" si="147"/>
        <v>F.LM.8_14S.1200102</v>
      </c>
      <c r="BW618" s="32" t="s">
        <v>114</v>
      </c>
      <c r="BX618" s="32" t="s">
        <v>398</v>
      </c>
      <c r="BY618" s="32" t="s">
        <v>678</v>
      </c>
      <c r="BZ618" s="32">
        <v>1200102</v>
      </c>
      <c r="CA618" s="32">
        <v>1152</v>
      </c>
    </row>
    <row r="619" spans="74:79" x14ac:dyDescent="0.25">
      <c r="BV619" s="255" t="str">
        <f t="shared" si="147"/>
        <v>F.LM.10_12T.1200102</v>
      </c>
      <c r="BW619" s="32" t="s">
        <v>114</v>
      </c>
      <c r="BX619" s="32" t="s">
        <v>398</v>
      </c>
      <c r="BY619" s="32" t="s">
        <v>713</v>
      </c>
      <c r="BZ619" s="32">
        <v>1200102</v>
      </c>
      <c r="CA619" s="32">
        <v>1330</v>
      </c>
    </row>
    <row r="620" spans="74:79" x14ac:dyDescent="0.25">
      <c r="BV620" s="255" t="str">
        <f t="shared" si="147"/>
        <v>F.LM.10_13T.1200102</v>
      </c>
      <c r="BW620" s="32" t="s">
        <v>114</v>
      </c>
      <c r="BX620" s="32" t="s">
        <v>398</v>
      </c>
      <c r="BY620" s="32" t="s">
        <v>715</v>
      </c>
      <c r="BZ620" s="32">
        <v>1200102</v>
      </c>
      <c r="CA620" s="32">
        <v>1341</v>
      </c>
    </row>
    <row r="621" spans="74:79" x14ac:dyDescent="0.25">
      <c r="BV621" s="255" t="str">
        <f t="shared" si="147"/>
        <v>F.LM.10_14T.1200102</v>
      </c>
      <c r="BW621" s="32" t="s">
        <v>114</v>
      </c>
      <c r="BX621" s="32" t="s">
        <v>398</v>
      </c>
      <c r="BY621" s="32" t="s">
        <v>718</v>
      </c>
      <c r="BZ621" s="32">
        <v>1200102</v>
      </c>
      <c r="CA621" s="32">
        <v>1467</v>
      </c>
    </row>
    <row r="622" spans="74:79" x14ac:dyDescent="0.25">
      <c r="BV622" s="255" t="str">
        <f t="shared" si="147"/>
        <v>F.LM.11_12T.1200102</v>
      </c>
      <c r="BW622" s="32" t="s">
        <v>114</v>
      </c>
      <c r="BX622" s="32" t="s">
        <v>398</v>
      </c>
      <c r="BY622" s="32" t="s">
        <v>714</v>
      </c>
      <c r="BZ622" s="32">
        <v>1200102</v>
      </c>
      <c r="CA622" s="32">
        <v>1330</v>
      </c>
    </row>
    <row r="623" spans="74:79" x14ac:dyDescent="0.25">
      <c r="BV623" s="255" t="str">
        <f t="shared" si="147"/>
        <v>F.LM.11_13T.1200102</v>
      </c>
      <c r="BW623" s="32" t="s">
        <v>114</v>
      </c>
      <c r="BX623" s="32" t="s">
        <v>398</v>
      </c>
      <c r="BY623" s="32" t="s">
        <v>716</v>
      </c>
      <c r="BZ623" s="32">
        <v>1200102</v>
      </c>
      <c r="CA623" s="32">
        <v>1341</v>
      </c>
    </row>
    <row r="624" spans="74:79" x14ac:dyDescent="0.25">
      <c r="BV624" s="255" t="str">
        <f t="shared" si="147"/>
        <v>F.LM.11_14T.1200102</v>
      </c>
      <c r="BW624" s="32" t="s">
        <v>114</v>
      </c>
      <c r="BX624" s="32" t="s">
        <v>398</v>
      </c>
      <c r="BY624" s="32" t="s">
        <v>719</v>
      </c>
      <c r="BZ624" s="32">
        <v>1200102</v>
      </c>
      <c r="CA624" s="32">
        <v>1467</v>
      </c>
    </row>
    <row r="625" spans="74:79" x14ac:dyDescent="0.25">
      <c r="BV625" s="255" t="str">
        <f t="shared" si="147"/>
        <v>F.LM.12_13T.1200102</v>
      </c>
      <c r="BW625" s="32" t="s">
        <v>114</v>
      </c>
      <c r="BX625" s="32" t="s">
        <v>398</v>
      </c>
      <c r="BY625" s="32" t="s">
        <v>717</v>
      </c>
      <c r="BZ625" s="32">
        <v>1200102</v>
      </c>
      <c r="CA625" s="32">
        <v>1341</v>
      </c>
    </row>
    <row r="626" spans="74:79" x14ac:dyDescent="0.25">
      <c r="BV626" s="255" t="str">
        <f t="shared" si="147"/>
        <v>F.LM.12_14T.1200102</v>
      </c>
      <c r="BW626" s="32" t="s">
        <v>114</v>
      </c>
      <c r="BX626" s="32" t="s">
        <v>398</v>
      </c>
      <c r="BY626" s="32" t="s">
        <v>720</v>
      </c>
      <c r="BZ626" s="32">
        <v>1200102</v>
      </c>
      <c r="CA626" s="32">
        <v>1467</v>
      </c>
    </row>
    <row r="627" spans="74:79" x14ac:dyDescent="0.25">
      <c r="BV627" s="255" t="str">
        <f t="shared" si="147"/>
        <v>F.LM.12_15T.1200102</v>
      </c>
      <c r="BW627" s="32" t="s">
        <v>114</v>
      </c>
      <c r="BX627" s="32" t="s">
        <v>398</v>
      </c>
      <c r="BY627" s="32" t="s">
        <v>723</v>
      </c>
      <c r="BZ627" s="32">
        <v>1200102</v>
      </c>
      <c r="CA627" s="32">
        <v>1530</v>
      </c>
    </row>
    <row r="628" spans="74:79" x14ac:dyDescent="0.25">
      <c r="BV628" s="255" t="str">
        <f t="shared" si="147"/>
        <v>F.LM.13_14T.1200102</v>
      </c>
      <c r="BW628" s="32" t="s">
        <v>114</v>
      </c>
      <c r="BX628" s="32" t="s">
        <v>398</v>
      </c>
      <c r="BY628" s="32" t="s">
        <v>721</v>
      </c>
      <c r="BZ628" s="32">
        <v>1200102</v>
      </c>
      <c r="CA628" s="32">
        <v>1467</v>
      </c>
    </row>
    <row r="629" spans="74:79" x14ac:dyDescent="0.25">
      <c r="BV629" s="255" t="str">
        <f t="shared" si="147"/>
        <v>F.LM.13_15T.1200102</v>
      </c>
      <c r="BW629" s="32" t="s">
        <v>114</v>
      </c>
      <c r="BX629" s="32" t="s">
        <v>398</v>
      </c>
      <c r="BY629" s="32" t="s">
        <v>724</v>
      </c>
      <c r="BZ629" s="32">
        <v>1200102</v>
      </c>
      <c r="CA629" s="32">
        <v>1530</v>
      </c>
    </row>
    <row r="630" spans="74:79" x14ac:dyDescent="0.25">
      <c r="BV630" s="255" t="str">
        <f t="shared" si="147"/>
        <v>F.LM.13_16T.1200102</v>
      </c>
      <c r="BW630" s="32" t="s">
        <v>114</v>
      </c>
      <c r="BX630" s="32" t="s">
        <v>398</v>
      </c>
      <c r="BY630" s="32" t="s">
        <v>726</v>
      </c>
      <c r="BZ630" s="32">
        <v>1200102</v>
      </c>
      <c r="CA630" s="32">
        <v>1609</v>
      </c>
    </row>
    <row r="631" spans="74:79" x14ac:dyDescent="0.25">
      <c r="BV631" s="255" t="str">
        <f t="shared" si="147"/>
        <v>F.LM.14_14T.1200102</v>
      </c>
      <c r="BW631" s="32" t="s">
        <v>114</v>
      </c>
      <c r="BX631" s="32" t="s">
        <v>398</v>
      </c>
      <c r="BY631" s="32" t="s">
        <v>722</v>
      </c>
      <c r="BZ631" s="32">
        <v>1200102</v>
      </c>
      <c r="CA631" s="32">
        <v>1467</v>
      </c>
    </row>
    <row r="632" spans="74:79" x14ac:dyDescent="0.25">
      <c r="BV632" s="255" t="str">
        <f t="shared" si="147"/>
        <v>F.LM.14_15T.1200102</v>
      </c>
      <c r="BW632" s="32" t="s">
        <v>114</v>
      </c>
      <c r="BX632" s="32" t="s">
        <v>398</v>
      </c>
      <c r="BY632" s="32" t="s">
        <v>725</v>
      </c>
      <c r="BZ632" s="32">
        <v>1200102</v>
      </c>
      <c r="CA632" s="32">
        <v>1530</v>
      </c>
    </row>
    <row r="633" spans="74:79" x14ac:dyDescent="0.25">
      <c r="BV633" s="255" t="str">
        <f t="shared" si="147"/>
        <v>F.LM.14_16T.1200102</v>
      </c>
      <c r="BW633" s="32" t="s">
        <v>114</v>
      </c>
      <c r="BX633" s="32" t="s">
        <v>398</v>
      </c>
      <c r="BY633" s="32" t="s">
        <v>727</v>
      </c>
      <c r="BZ633" s="32">
        <v>1200102</v>
      </c>
      <c r="CA633" s="32">
        <v>1609</v>
      </c>
    </row>
    <row r="634" spans="74:79" x14ac:dyDescent="0.25">
      <c r="BV634" s="255" t="str">
        <f t="shared" si="147"/>
        <v>F.LM.15_16T.1200102</v>
      </c>
      <c r="BW634" s="32" t="s">
        <v>114</v>
      </c>
      <c r="BX634" s="32" t="s">
        <v>398</v>
      </c>
      <c r="BY634" s="32" t="s">
        <v>728</v>
      </c>
      <c r="BZ634" s="32">
        <v>1200102</v>
      </c>
      <c r="CA634" s="32">
        <v>1609</v>
      </c>
    </row>
    <row r="635" spans="74:79" x14ac:dyDescent="0.25">
      <c r="BV635" s="255" t="str">
        <f t="shared" si="147"/>
        <v>F.LM.16_16T.1200102</v>
      </c>
      <c r="BW635" s="32" t="s">
        <v>114</v>
      </c>
      <c r="BX635" s="32" t="s">
        <v>398</v>
      </c>
      <c r="BY635" s="32" t="s">
        <v>729</v>
      </c>
      <c r="BZ635" s="32">
        <v>1200102</v>
      </c>
      <c r="CA635" s="32">
        <v>1609</v>
      </c>
    </row>
    <row r="636" spans="74:79" x14ac:dyDescent="0.25">
      <c r="BV636" s="255" t="str">
        <f t="shared" si="147"/>
        <v>F.LM.7_10T.1200102</v>
      </c>
      <c r="BW636" s="32" t="s">
        <v>114</v>
      </c>
      <c r="BX636" s="32" t="s">
        <v>398</v>
      </c>
      <c r="BY636" s="32" t="s">
        <v>668</v>
      </c>
      <c r="BZ636" s="32">
        <v>1200102</v>
      </c>
      <c r="CA636" s="32">
        <v>1446</v>
      </c>
    </row>
    <row r="637" spans="74:79" x14ac:dyDescent="0.25">
      <c r="BV637" s="255" t="str">
        <f t="shared" si="147"/>
        <v>F.LM.7H_10T.1200102</v>
      </c>
      <c r="BW637" s="32" t="s">
        <v>114</v>
      </c>
      <c r="BX637" s="32" t="s">
        <v>398</v>
      </c>
      <c r="BY637" s="32" t="s">
        <v>674</v>
      </c>
      <c r="BZ637" s="32">
        <v>1200102</v>
      </c>
      <c r="CA637" s="32">
        <v>1446</v>
      </c>
    </row>
    <row r="638" spans="74:79" x14ac:dyDescent="0.25">
      <c r="BV638" s="255" t="str">
        <f t="shared" si="147"/>
        <v>F.LM.8_10T.1200102</v>
      </c>
      <c r="BW638" s="32" t="s">
        <v>114</v>
      </c>
      <c r="BX638" s="32" t="s">
        <v>398</v>
      </c>
      <c r="BY638" s="32" t="s">
        <v>669</v>
      </c>
      <c r="BZ638" s="32">
        <v>1200102</v>
      </c>
      <c r="CA638" s="32">
        <v>1446</v>
      </c>
    </row>
    <row r="639" spans="74:79" x14ac:dyDescent="0.25">
      <c r="BV639" s="255" t="str">
        <f t="shared" si="147"/>
        <v>F.LM.8_12T.1200102</v>
      </c>
      <c r="BW639" s="32" t="s">
        <v>114</v>
      </c>
      <c r="BX639" s="32" t="s">
        <v>398</v>
      </c>
      <c r="BY639" s="32" t="s">
        <v>671</v>
      </c>
      <c r="BZ639" s="32">
        <v>1200102</v>
      </c>
      <c r="CA639" s="32">
        <v>1330</v>
      </c>
    </row>
    <row r="640" spans="74:79" x14ac:dyDescent="0.25">
      <c r="BV640" s="255" t="str">
        <f t="shared" si="147"/>
        <v>F.LM.9_10T.1200102</v>
      </c>
      <c r="BW640" s="32" t="s">
        <v>114</v>
      </c>
      <c r="BX640" s="32" t="s">
        <v>398</v>
      </c>
      <c r="BY640" s="32" t="s">
        <v>670</v>
      </c>
      <c r="BZ640" s="32">
        <v>1200102</v>
      </c>
      <c r="CA640" s="32">
        <v>1446</v>
      </c>
    </row>
    <row r="641" spans="74:79" x14ac:dyDescent="0.25">
      <c r="BV641" s="255" t="str">
        <f t="shared" si="147"/>
        <v>F.LM.9_12T.1200102</v>
      </c>
      <c r="BW641" s="32" t="s">
        <v>114</v>
      </c>
      <c r="BX641" s="32" t="s">
        <v>398</v>
      </c>
      <c r="BY641" s="32" t="s">
        <v>672</v>
      </c>
      <c r="BZ641" s="32">
        <v>1200102</v>
      </c>
      <c r="CA641" s="32">
        <v>1330</v>
      </c>
    </row>
    <row r="642" spans="74:79" x14ac:dyDescent="0.25">
      <c r="BV642" s="255" t="str">
        <f t="shared" si="147"/>
        <v>F.LM.9_13T.1200102</v>
      </c>
      <c r="BW642" s="32" t="s">
        <v>114</v>
      </c>
      <c r="BX642" s="32" t="s">
        <v>398</v>
      </c>
      <c r="BY642" s="32" t="s">
        <v>673</v>
      </c>
      <c r="BZ642" s="32">
        <v>1200102</v>
      </c>
      <c r="CA642" s="32">
        <v>1341</v>
      </c>
    </row>
    <row r="643" spans="74:79" x14ac:dyDescent="0.25">
      <c r="BV643" s="255" t="str">
        <f t="shared" si="147"/>
        <v>F.LM.9_14T.1200102</v>
      </c>
      <c r="BW643" s="32" t="s">
        <v>114</v>
      </c>
      <c r="BX643" s="32" t="s">
        <v>398</v>
      </c>
      <c r="BY643" s="32" t="s">
        <v>737</v>
      </c>
      <c r="BZ643" s="32">
        <v>1200102</v>
      </c>
      <c r="CA643" s="32">
        <v>1467</v>
      </c>
    </row>
    <row r="644" spans="74:79" x14ac:dyDescent="0.25">
      <c r="BV644" s="255" t="str">
        <f t="shared" si="147"/>
        <v>F.LO.12_18B.1200102</v>
      </c>
      <c r="BW644" s="32" t="s">
        <v>114</v>
      </c>
      <c r="BX644" s="32" t="s">
        <v>732</v>
      </c>
      <c r="BY644" s="34" t="s">
        <v>683</v>
      </c>
      <c r="BZ644" s="32">
        <v>1200102</v>
      </c>
      <c r="CA644" s="32">
        <v>1514</v>
      </c>
    </row>
    <row r="645" spans="74:79" x14ac:dyDescent="0.25">
      <c r="BV645" s="255" t="str">
        <f t="shared" si="147"/>
        <v>F.LO.12_20B.1200102</v>
      </c>
      <c r="BW645" s="32" t="s">
        <v>114</v>
      </c>
      <c r="BX645" s="32" t="s">
        <v>732</v>
      </c>
      <c r="BY645" s="32" t="s">
        <v>686</v>
      </c>
      <c r="BZ645" s="32">
        <v>1200102</v>
      </c>
      <c r="CA645" s="32">
        <v>1574</v>
      </c>
    </row>
    <row r="646" spans="74:79" x14ac:dyDescent="0.25">
      <c r="BV646" s="255" t="str">
        <f t="shared" si="147"/>
        <v>F.LO.12_22B.1200102</v>
      </c>
      <c r="BW646" s="32" t="s">
        <v>114</v>
      </c>
      <c r="BX646" s="32" t="s">
        <v>732</v>
      </c>
      <c r="BY646" s="32" t="s">
        <v>690</v>
      </c>
      <c r="BZ646" s="32">
        <v>1200102</v>
      </c>
      <c r="CA646" s="32">
        <v>1616</v>
      </c>
    </row>
    <row r="647" spans="74:79" x14ac:dyDescent="0.25">
      <c r="BV647" s="255" t="str">
        <f t="shared" si="147"/>
        <v>F.LO.12_24B.1200102</v>
      </c>
      <c r="BW647" s="32" t="s">
        <v>114</v>
      </c>
      <c r="BX647" s="32" t="s">
        <v>732</v>
      </c>
      <c r="BY647" s="32" t="s">
        <v>695</v>
      </c>
      <c r="BZ647" s="32">
        <v>1200102</v>
      </c>
      <c r="CA647" s="32">
        <v>1680</v>
      </c>
    </row>
    <row r="648" spans="74:79" x14ac:dyDescent="0.25">
      <c r="BV648" s="255" t="str">
        <f t="shared" si="147"/>
        <v>F.LO.12_26B.1200102</v>
      </c>
      <c r="BW648" s="32" t="s">
        <v>114</v>
      </c>
      <c r="BX648" s="32" t="s">
        <v>732</v>
      </c>
      <c r="BY648" s="32" t="s">
        <v>700</v>
      </c>
      <c r="BZ648" s="32">
        <v>1200102</v>
      </c>
      <c r="CA648" s="32">
        <v>1691</v>
      </c>
    </row>
    <row r="649" spans="74:79" x14ac:dyDescent="0.25">
      <c r="BV649" s="255" t="str">
        <f t="shared" si="147"/>
        <v>F.LO.14_18B.1200102</v>
      </c>
      <c r="BW649" s="32" t="s">
        <v>114</v>
      </c>
      <c r="BX649" s="32" t="s">
        <v>732</v>
      </c>
      <c r="BY649" s="32" t="s">
        <v>684</v>
      </c>
      <c r="BZ649" s="32">
        <v>1200102</v>
      </c>
      <c r="CA649" s="32">
        <v>1514</v>
      </c>
    </row>
    <row r="650" spans="74:79" x14ac:dyDescent="0.25">
      <c r="BV650" s="255" t="str">
        <f t="shared" si="147"/>
        <v>F.LO.14_20B.1200102</v>
      </c>
      <c r="BW650" s="32" t="s">
        <v>114</v>
      </c>
      <c r="BX650" s="32" t="s">
        <v>732</v>
      </c>
      <c r="BY650" s="32" t="s">
        <v>687</v>
      </c>
      <c r="BZ650" s="32">
        <v>1200102</v>
      </c>
      <c r="CA650" s="32">
        <v>1574</v>
      </c>
    </row>
    <row r="651" spans="74:79" x14ac:dyDescent="0.25">
      <c r="BV651" s="255" t="str">
        <f t="shared" si="147"/>
        <v>F.LO.14_22B.1200102</v>
      </c>
      <c r="BW651" s="32" t="s">
        <v>114</v>
      </c>
      <c r="BX651" s="32" t="s">
        <v>732</v>
      </c>
      <c r="BY651" s="32" t="s">
        <v>691</v>
      </c>
      <c r="BZ651" s="32">
        <v>1200102</v>
      </c>
      <c r="CA651" s="32">
        <v>1616</v>
      </c>
    </row>
    <row r="652" spans="74:79" x14ac:dyDescent="0.25">
      <c r="BV652" s="255" t="str">
        <f t="shared" si="147"/>
        <v>F.LO.14_24B.1200102</v>
      </c>
      <c r="BW652" s="32" t="s">
        <v>114</v>
      </c>
      <c r="BX652" s="32" t="s">
        <v>732</v>
      </c>
      <c r="BY652" s="32" t="s">
        <v>696</v>
      </c>
      <c r="BZ652" s="32">
        <v>1200102</v>
      </c>
      <c r="CA652" s="32">
        <v>1680</v>
      </c>
    </row>
    <row r="653" spans="74:79" x14ac:dyDescent="0.25">
      <c r="BV653" s="255" t="str">
        <f t="shared" si="147"/>
        <v>F.LO.14_26B.1200102</v>
      </c>
      <c r="BW653" s="32" t="s">
        <v>114</v>
      </c>
      <c r="BX653" s="32" t="s">
        <v>732</v>
      </c>
      <c r="BY653" s="32" t="s">
        <v>701</v>
      </c>
      <c r="BZ653" s="32">
        <v>1200102</v>
      </c>
      <c r="CA653" s="32">
        <v>1691</v>
      </c>
    </row>
    <row r="654" spans="74:79" x14ac:dyDescent="0.25">
      <c r="BV654" s="255" t="str">
        <f t="shared" si="147"/>
        <v>F.LO.16_18B.1200102</v>
      </c>
      <c r="BW654" s="32" t="s">
        <v>114</v>
      </c>
      <c r="BX654" s="32" t="s">
        <v>732</v>
      </c>
      <c r="BY654" s="32" t="s">
        <v>685</v>
      </c>
      <c r="BZ654" s="32">
        <v>1200102</v>
      </c>
      <c r="CA654" s="32">
        <v>1514</v>
      </c>
    </row>
    <row r="655" spans="74:79" x14ac:dyDescent="0.25">
      <c r="BV655" s="255" t="str">
        <f t="shared" si="147"/>
        <v>F.LO.16_20B.1200102</v>
      </c>
      <c r="BW655" s="32" t="s">
        <v>114</v>
      </c>
      <c r="BX655" s="32" t="s">
        <v>732</v>
      </c>
      <c r="BY655" s="32" t="s">
        <v>688</v>
      </c>
      <c r="BZ655" s="32">
        <v>1200102</v>
      </c>
      <c r="CA655" s="32">
        <v>1574</v>
      </c>
    </row>
    <row r="656" spans="74:79" x14ac:dyDescent="0.25">
      <c r="BV656" s="255" t="str">
        <f t="shared" si="147"/>
        <v>F.LO.16_22B.1200102</v>
      </c>
      <c r="BW656" s="32" t="s">
        <v>114</v>
      </c>
      <c r="BX656" s="32" t="s">
        <v>732</v>
      </c>
      <c r="BY656" s="32" t="s">
        <v>692</v>
      </c>
      <c r="BZ656" s="32">
        <v>1200102</v>
      </c>
      <c r="CA656" s="32">
        <v>1616</v>
      </c>
    </row>
    <row r="657" spans="74:79" x14ac:dyDescent="0.25">
      <c r="BV657" s="255" t="str">
        <f t="shared" si="147"/>
        <v>F.LO.16_24B.1200102</v>
      </c>
      <c r="BW657" s="32" t="s">
        <v>114</v>
      </c>
      <c r="BX657" s="32" t="s">
        <v>732</v>
      </c>
      <c r="BY657" s="32" t="s">
        <v>697</v>
      </c>
      <c r="BZ657" s="32">
        <v>1200102</v>
      </c>
      <c r="CA657" s="32">
        <v>1680</v>
      </c>
    </row>
    <row r="658" spans="74:79" x14ac:dyDescent="0.25">
      <c r="BV658" s="255" t="str">
        <f t="shared" si="147"/>
        <v>F.LO.16_26B.1200102</v>
      </c>
      <c r="BW658" s="32" t="s">
        <v>114</v>
      </c>
      <c r="BX658" s="32" t="s">
        <v>732</v>
      </c>
      <c r="BY658" s="32" t="s">
        <v>702</v>
      </c>
      <c r="BZ658" s="32">
        <v>1200102</v>
      </c>
      <c r="CA658" s="32">
        <v>1691</v>
      </c>
    </row>
    <row r="659" spans="74:79" x14ac:dyDescent="0.25">
      <c r="BV659" s="255" t="str">
        <f t="shared" si="147"/>
        <v>F.LO.18_20B.1200102</v>
      </c>
      <c r="BW659" s="32" t="s">
        <v>114</v>
      </c>
      <c r="BX659" s="32" t="s">
        <v>732</v>
      </c>
      <c r="BY659" s="32" t="s">
        <v>689</v>
      </c>
      <c r="BZ659" s="32">
        <v>1200102</v>
      </c>
      <c r="CA659" s="32">
        <v>1574</v>
      </c>
    </row>
    <row r="660" spans="74:79" x14ac:dyDescent="0.25">
      <c r="BV660" s="255" t="str">
        <f t="shared" si="147"/>
        <v>F.LO.18_22B.1200102</v>
      </c>
      <c r="BW660" s="32" t="s">
        <v>114</v>
      </c>
      <c r="BX660" s="32" t="s">
        <v>732</v>
      </c>
      <c r="BY660" s="32" t="s">
        <v>693</v>
      </c>
      <c r="BZ660" s="32">
        <v>1200102</v>
      </c>
      <c r="CA660" s="32">
        <v>1616</v>
      </c>
    </row>
    <row r="661" spans="74:79" x14ac:dyDescent="0.25">
      <c r="BV661" s="255" t="str">
        <f t="shared" si="147"/>
        <v>F.LO.18_24B.1200102</v>
      </c>
      <c r="BW661" s="32" t="s">
        <v>114</v>
      </c>
      <c r="BX661" s="32" t="s">
        <v>732</v>
      </c>
      <c r="BY661" s="32" t="s">
        <v>698</v>
      </c>
      <c r="BZ661" s="32">
        <v>1200102</v>
      </c>
      <c r="CA661" s="32">
        <v>1680</v>
      </c>
    </row>
    <row r="662" spans="74:79" x14ac:dyDescent="0.25">
      <c r="BV662" s="255" t="str">
        <f t="shared" ref="BV662:BV725" si="148">CONCATENATE(BW662,".",BX662,".",BY662,".",BZ662)</f>
        <v>F.LO.20_22B.1200102</v>
      </c>
      <c r="BW662" s="32" t="s">
        <v>114</v>
      </c>
      <c r="BX662" s="32" t="s">
        <v>732</v>
      </c>
      <c r="BY662" s="32" t="s">
        <v>694</v>
      </c>
      <c r="BZ662" s="32">
        <v>1200102</v>
      </c>
      <c r="CA662" s="32">
        <v>1616</v>
      </c>
    </row>
    <row r="663" spans="74:79" x14ac:dyDescent="0.25">
      <c r="BV663" s="255" t="str">
        <f t="shared" si="148"/>
        <v>F.LO.20_24B.1200102</v>
      </c>
      <c r="BW663" s="32" t="s">
        <v>114</v>
      </c>
      <c r="BX663" s="32" t="s">
        <v>732</v>
      </c>
      <c r="BY663" s="32" t="s">
        <v>699</v>
      </c>
      <c r="BZ663" s="32">
        <v>1200102</v>
      </c>
      <c r="CA663" s="32">
        <v>1677</v>
      </c>
    </row>
    <row r="664" spans="74:79" x14ac:dyDescent="0.25">
      <c r="BV664" s="255" t="str">
        <f t="shared" si="148"/>
        <v>F.LO.12_14F.1200102</v>
      </c>
      <c r="BW664" s="32" t="s">
        <v>114</v>
      </c>
      <c r="BX664" s="32" t="s">
        <v>732</v>
      </c>
      <c r="BY664" s="32" t="s">
        <v>703</v>
      </c>
      <c r="BZ664" s="32">
        <v>1200102</v>
      </c>
      <c r="CA664" s="32">
        <v>839</v>
      </c>
    </row>
    <row r="665" spans="74:79" x14ac:dyDescent="0.25">
      <c r="BV665" s="255" t="str">
        <f t="shared" si="148"/>
        <v>F.LO.13_14F.1200102</v>
      </c>
      <c r="BW665" s="32" t="s">
        <v>114</v>
      </c>
      <c r="BX665" s="32" t="s">
        <v>732</v>
      </c>
      <c r="BY665" s="32" t="s">
        <v>704</v>
      </c>
      <c r="BZ665" s="32">
        <v>1200102</v>
      </c>
      <c r="CA665" s="32">
        <v>839</v>
      </c>
    </row>
    <row r="666" spans="74:79" x14ac:dyDescent="0.25">
      <c r="BV666" s="255" t="str">
        <f t="shared" si="148"/>
        <v>F.LO.13_15F.1200102</v>
      </c>
      <c r="BW666" s="32" t="s">
        <v>114</v>
      </c>
      <c r="BX666" s="32" t="s">
        <v>732</v>
      </c>
      <c r="BY666" s="32" t="s">
        <v>706</v>
      </c>
      <c r="BZ666" s="32">
        <v>1200102</v>
      </c>
      <c r="CA666" s="32">
        <v>869</v>
      </c>
    </row>
    <row r="667" spans="74:79" x14ac:dyDescent="0.25">
      <c r="BV667" s="255" t="str">
        <f t="shared" si="148"/>
        <v>F.LO.13_16F.1200102</v>
      </c>
      <c r="BW667" s="32" t="s">
        <v>114</v>
      </c>
      <c r="BX667" s="32" t="s">
        <v>732</v>
      </c>
      <c r="BY667" s="32" t="s">
        <v>708</v>
      </c>
      <c r="BZ667" s="32">
        <v>1200102</v>
      </c>
      <c r="CA667" s="32">
        <v>891</v>
      </c>
    </row>
    <row r="668" spans="74:79" x14ac:dyDescent="0.25">
      <c r="BV668" s="255" t="str">
        <f t="shared" si="148"/>
        <v>F.LO.14_14F.1200102</v>
      </c>
      <c r="BW668" s="32" t="s">
        <v>114</v>
      </c>
      <c r="BX668" s="32" t="s">
        <v>732</v>
      </c>
      <c r="BY668" s="32" t="s">
        <v>705</v>
      </c>
      <c r="BZ668" s="32">
        <v>1200102</v>
      </c>
      <c r="CA668" s="32">
        <v>839</v>
      </c>
    </row>
    <row r="669" spans="74:79" x14ac:dyDescent="0.25">
      <c r="BV669" s="255" t="str">
        <f t="shared" si="148"/>
        <v>F.LO.14_15F.1200102</v>
      </c>
      <c r="BW669" s="32" t="s">
        <v>114</v>
      </c>
      <c r="BX669" s="32" t="s">
        <v>732</v>
      </c>
      <c r="BY669" s="32" t="s">
        <v>707</v>
      </c>
      <c r="BZ669" s="32">
        <v>1200102</v>
      </c>
      <c r="CA669" s="32">
        <v>869</v>
      </c>
    </row>
    <row r="670" spans="74:79" x14ac:dyDescent="0.25">
      <c r="BV670" s="255" t="str">
        <f t="shared" si="148"/>
        <v>F.LO.14_16F.1200102</v>
      </c>
      <c r="BW670" s="32" t="s">
        <v>114</v>
      </c>
      <c r="BX670" s="32" t="s">
        <v>732</v>
      </c>
      <c r="BY670" s="32" t="s">
        <v>709</v>
      </c>
      <c r="BZ670" s="32">
        <v>1200102</v>
      </c>
      <c r="CA670" s="32">
        <v>891</v>
      </c>
    </row>
    <row r="671" spans="74:79" x14ac:dyDescent="0.25">
      <c r="BV671" s="255" t="str">
        <f t="shared" si="148"/>
        <v>F.LO.15_16F.1200102</v>
      </c>
      <c r="BW671" s="32" t="s">
        <v>114</v>
      </c>
      <c r="BX671" s="32" t="s">
        <v>732</v>
      </c>
      <c r="BY671" s="32" t="s">
        <v>710</v>
      </c>
      <c r="BZ671" s="32">
        <v>1200102</v>
      </c>
      <c r="CA671" s="32">
        <v>891</v>
      </c>
    </row>
    <row r="672" spans="74:79" x14ac:dyDescent="0.25">
      <c r="BV672" s="255" t="str">
        <f t="shared" si="148"/>
        <v>F.LO.16_16F.1200102</v>
      </c>
      <c r="BW672" s="32" t="s">
        <v>114</v>
      </c>
      <c r="BX672" s="32" t="s">
        <v>732</v>
      </c>
      <c r="BY672" s="32" t="s">
        <v>711</v>
      </c>
      <c r="BZ672" s="32">
        <v>1200102</v>
      </c>
      <c r="CA672" s="32">
        <v>891</v>
      </c>
    </row>
    <row r="673" spans="74:79" x14ac:dyDescent="0.25">
      <c r="BV673" s="255" t="str">
        <f t="shared" si="148"/>
        <v>F.LO.16_18F.1200102</v>
      </c>
      <c r="BW673" s="32" t="s">
        <v>114</v>
      </c>
      <c r="BX673" s="32" t="s">
        <v>732</v>
      </c>
      <c r="BY673" s="32" t="s">
        <v>712</v>
      </c>
      <c r="BZ673" s="32">
        <v>1200102</v>
      </c>
      <c r="CA673" s="32">
        <v>1038</v>
      </c>
    </row>
    <row r="674" spans="74:79" x14ac:dyDescent="0.25">
      <c r="BV674" s="255" t="str">
        <f t="shared" si="148"/>
        <v>F.LO.10_14S.1200102</v>
      </c>
      <c r="BW674" s="32" t="s">
        <v>114</v>
      </c>
      <c r="BX674" s="32" t="s">
        <v>732</v>
      </c>
      <c r="BY674" s="32" t="s">
        <v>733</v>
      </c>
      <c r="BZ674" s="32">
        <v>1200102</v>
      </c>
      <c r="CA674" s="32">
        <v>796</v>
      </c>
    </row>
    <row r="675" spans="74:79" x14ac:dyDescent="0.25">
      <c r="BV675" s="255" t="str">
        <f t="shared" si="148"/>
        <v>F.LO.3H_13S.1200102</v>
      </c>
      <c r="BW675" s="32" t="s">
        <v>114</v>
      </c>
      <c r="BX675" s="32" t="s">
        <v>732</v>
      </c>
      <c r="BY675" s="32" t="s">
        <v>679</v>
      </c>
      <c r="BZ675" s="32">
        <v>1200102</v>
      </c>
      <c r="CA675" s="32">
        <v>614</v>
      </c>
    </row>
    <row r="676" spans="74:79" x14ac:dyDescent="0.25">
      <c r="BV676" s="255" t="str">
        <f t="shared" si="148"/>
        <v>F.LO.4_14S.1200102</v>
      </c>
      <c r="BW676" s="32" t="s">
        <v>114</v>
      </c>
      <c r="BX676" s="32" t="s">
        <v>732</v>
      </c>
      <c r="BY676" s="32" t="s">
        <v>739</v>
      </c>
      <c r="BZ676" s="32">
        <v>1200102</v>
      </c>
      <c r="CA676" s="32">
        <v>629</v>
      </c>
    </row>
    <row r="677" spans="74:79" x14ac:dyDescent="0.25">
      <c r="BV677" s="255" t="str">
        <f t="shared" si="148"/>
        <v>F.LO.4_14x8S.1200102</v>
      </c>
      <c r="BW677" s="32" t="s">
        <v>114</v>
      </c>
      <c r="BX677" s="32" t="s">
        <v>732</v>
      </c>
      <c r="BY677" s="32" t="s">
        <v>740</v>
      </c>
      <c r="BZ677" s="32">
        <v>1200102</v>
      </c>
      <c r="CA677" s="32">
        <v>629</v>
      </c>
    </row>
    <row r="678" spans="74:79" x14ac:dyDescent="0.25">
      <c r="BV678" s="255" t="str">
        <f t="shared" si="148"/>
        <v>F.LO.5_14S.1200102</v>
      </c>
      <c r="BW678" s="32" t="s">
        <v>114</v>
      </c>
      <c r="BX678" s="32" t="s">
        <v>732</v>
      </c>
      <c r="BY678" s="32" t="s">
        <v>677</v>
      </c>
      <c r="BZ678" s="32">
        <v>1200102</v>
      </c>
      <c r="CA678" s="32">
        <v>629</v>
      </c>
    </row>
    <row r="679" spans="74:79" x14ac:dyDescent="0.25">
      <c r="BV679" s="255" t="str">
        <f t="shared" si="148"/>
        <v>F.LO.5_14x8S.1200102</v>
      </c>
      <c r="BW679" s="32" t="s">
        <v>114</v>
      </c>
      <c r="BX679" s="32" t="s">
        <v>732</v>
      </c>
      <c r="BY679" s="32" t="s">
        <v>681</v>
      </c>
      <c r="BZ679" s="32">
        <v>1200102</v>
      </c>
      <c r="CA679" s="32">
        <v>629</v>
      </c>
    </row>
    <row r="680" spans="74:79" x14ac:dyDescent="0.25">
      <c r="BV680" s="255" t="str">
        <f t="shared" si="148"/>
        <v>F.LO.5H_14S.1200102</v>
      </c>
      <c r="BW680" s="32" t="s">
        <v>114</v>
      </c>
      <c r="BX680" s="32" t="s">
        <v>732</v>
      </c>
      <c r="BY680" s="32" t="s">
        <v>1208</v>
      </c>
      <c r="BZ680" s="32">
        <v>1200102</v>
      </c>
      <c r="CA680" s="32">
        <v>643</v>
      </c>
    </row>
    <row r="681" spans="74:79" x14ac:dyDescent="0.25">
      <c r="BV681" s="255" t="str">
        <f t="shared" si="148"/>
        <v>F.LO.5H_14x8S.1200102</v>
      </c>
      <c r="BW681" s="32" t="s">
        <v>114</v>
      </c>
      <c r="BX681" s="32" t="s">
        <v>732</v>
      </c>
      <c r="BY681" s="32" t="s">
        <v>1209</v>
      </c>
      <c r="BZ681" s="32">
        <v>1200102</v>
      </c>
      <c r="CA681" s="32">
        <v>643</v>
      </c>
    </row>
    <row r="682" spans="74:79" x14ac:dyDescent="0.25">
      <c r="BV682" s="255" t="str">
        <f t="shared" si="148"/>
        <v>F.LO.6_12S.1200102</v>
      </c>
      <c r="BW682" s="32" t="s">
        <v>114</v>
      </c>
      <c r="BX682" s="32" t="s">
        <v>732</v>
      </c>
      <c r="BY682" s="32" t="s">
        <v>675</v>
      </c>
      <c r="BZ682" s="32">
        <v>1200102</v>
      </c>
      <c r="CA682" s="32">
        <v>656</v>
      </c>
    </row>
    <row r="683" spans="74:79" x14ac:dyDescent="0.25">
      <c r="BV683" s="255" t="str">
        <f t="shared" si="148"/>
        <v>F.LO.6_13S.1200102</v>
      </c>
      <c r="BW683" s="32" t="s">
        <v>114</v>
      </c>
      <c r="BX683" s="32" t="s">
        <v>732</v>
      </c>
      <c r="BY683" s="32" t="s">
        <v>676</v>
      </c>
      <c r="BZ683" s="32">
        <v>1200102</v>
      </c>
      <c r="CA683" s="32">
        <v>656</v>
      </c>
    </row>
    <row r="684" spans="74:79" x14ac:dyDescent="0.25">
      <c r="BV684" s="255" t="str">
        <f t="shared" si="148"/>
        <v>F.LO.6H_14S.1200102</v>
      </c>
      <c r="BW684" s="32" t="s">
        <v>114</v>
      </c>
      <c r="BX684" s="32" t="s">
        <v>732</v>
      </c>
      <c r="BY684" s="32" t="s">
        <v>680</v>
      </c>
      <c r="BZ684" s="32">
        <v>1200102</v>
      </c>
      <c r="CA684" s="32">
        <v>671</v>
      </c>
    </row>
    <row r="685" spans="74:79" x14ac:dyDescent="0.25">
      <c r="BV685" s="255" t="str">
        <f t="shared" si="148"/>
        <v>F.LO.6H_14x8S.1200102</v>
      </c>
      <c r="BW685" s="32" t="s">
        <v>114</v>
      </c>
      <c r="BX685" s="32" t="s">
        <v>732</v>
      </c>
      <c r="BY685" s="32" t="s">
        <v>682</v>
      </c>
      <c r="BZ685" s="32">
        <v>1200102</v>
      </c>
      <c r="CA685" s="32">
        <v>671</v>
      </c>
    </row>
    <row r="686" spans="74:79" x14ac:dyDescent="0.25">
      <c r="BV686" s="255" t="str">
        <f t="shared" si="148"/>
        <v>F.LO.8_14S.1200102</v>
      </c>
      <c r="BW686" s="32" t="s">
        <v>114</v>
      </c>
      <c r="BX686" s="32" t="s">
        <v>732</v>
      </c>
      <c r="BY686" s="32" t="s">
        <v>678</v>
      </c>
      <c r="BZ686" s="32">
        <v>1200102</v>
      </c>
      <c r="CA686" s="32">
        <v>681</v>
      </c>
    </row>
    <row r="687" spans="74:79" x14ac:dyDescent="0.25">
      <c r="BV687" s="255" t="str">
        <f t="shared" si="148"/>
        <v>F.LO.10_12T.1200102</v>
      </c>
      <c r="BW687" s="32" t="s">
        <v>114</v>
      </c>
      <c r="BX687" s="32" t="s">
        <v>732</v>
      </c>
      <c r="BY687" s="32" t="s">
        <v>713</v>
      </c>
      <c r="BZ687" s="32">
        <v>1200102</v>
      </c>
      <c r="CA687" s="32">
        <v>681</v>
      </c>
    </row>
    <row r="688" spans="74:79" x14ac:dyDescent="0.25">
      <c r="BV688" s="255" t="str">
        <f t="shared" si="148"/>
        <v>F.LO.10_13T.1200102</v>
      </c>
      <c r="BW688" s="32" t="s">
        <v>114</v>
      </c>
      <c r="BX688" s="32" t="s">
        <v>732</v>
      </c>
      <c r="BY688" s="32" t="s">
        <v>715</v>
      </c>
      <c r="BZ688" s="32">
        <v>1200102</v>
      </c>
      <c r="CA688" s="32">
        <v>723</v>
      </c>
    </row>
    <row r="689" spans="74:79" x14ac:dyDescent="0.25">
      <c r="BV689" s="255" t="str">
        <f t="shared" si="148"/>
        <v>F.LO.9_14T.1200102</v>
      </c>
      <c r="BW689" s="40" t="s">
        <v>114</v>
      </c>
      <c r="BX689" s="40" t="s">
        <v>732</v>
      </c>
      <c r="BY689" s="40" t="s">
        <v>737</v>
      </c>
      <c r="BZ689" s="40">
        <v>1200102</v>
      </c>
      <c r="CA689" s="32">
        <v>792</v>
      </c>
    </row>
    <row r="690" spans="74:79" x14ac:dyDescent="0.25">
      <c r="BV690" s="255" t="str">
        <f t="shared" si="148"/>
        <v>F.LO.10_14T.1200102</v>
      </c>
      <c r="BW690" s="358" t="s">
        <v>114</v>
      </c>
      <c r="BX690" s="358" t="s">
        <v>732</v>
      </c>
      <c r="BY690" s="358" t="s">
        <v>718</v>
      </c>
      <c r="BZ690" s="358">
        <v>1200102</v>
      </c>
      <c r="CA690" s="32">
        <v>792</v>
      </c>
    </row>
    <row r="691" spans="74:79" x14ac:dyDescent="0.25">
      <c r="BV691" s="255" t="str">
        <f t="shared" si="148"/>
        <v>F.LO.11_12T.1200102</v>
      </c>
      <c r="BW691" s="32" t="s">
        <v>114</v>
      </c>
      <c r="BX691" s="32" t="s">
        <v>732</v>
      </c>
      <c r="BY691" s="32" t="s">
        <v>714</v>
      </c>
      <c r="BZ691" s="32">
        <v>1200102</v>
      </c>
      <c r="CA691" s="32">
        <v>681</v>
      </c>
    </row>
    <row r="692" spans="74:79" x14ac:dyDescent="0.25">
      <c r="BV692" s="255" t="str">
        <f t="shared" si="148"/>
        <v>F.LO.11_13T.1200102</v>
      </c>
      <c r="BW692" s="32" t="s">
        <v>114</v>
      </c>
      <c r="BX692" s="32" t="s">
        <v>732</v>
      </c>
      <c r="BY692" s="32" t="s">
        <v>716</v>
      </c>
      <c r="BZ692" s="32">
        <v>1200102</v>
      </c>
      <c r="CA692" s="32">
        <v>723</v>
      </c>
    </row>
    <row r="693" spans="74:79" x14ac:dyDescent="0.25">
      <c r="BV693" s="255" t="str">
        <f t="shared" si="148"/>
        <v>F.LO.11_14T.1200102</v>
      </c>
      <c r="BW693" s="32" t="s">
        <v>114</v>
      </c>
      <c r="BX693" s="32" t="s">
        <v>732</v>
      </c>
      <c r="BY693" s="32" t="s">
        <v>719</v>
      </c>
      <c r="BZ693" s="32">
        <v>1200102</v>
      </c>
      <c r="CA693" s="32">
        <v>792</v>
      </c>
    </row>
    <row r="694" spans="74:79" x14ac:dyDescent="0.25">
      <c r="BV694" s="255" t="str">
        <f t="shared" si="148"/>
        <v>F.LO.12_13T.1200102</v>
      </c>
      <c r="BW694" s="32" t="s">
        <v>114</v>
      </c>
      <c r="BX694" s="32" t="s">
        <v>732</v>
      </c>
      <c r="BY694" s="32" t="s">
        <v>717</v>
      </c>
      <c r="BZ694" s="32">
        <v>1200102</v>
      </c>
      <c r="CA694" s="32">
        <v>723</v>
      </c>
    </row>
    <row r="695" spans="74:79" x14ac:dyDescent="0.25">
      <c r="BV695" s="255" t="str">
        <f t="shared" si="148"/>
        <v>F.LO.12_14T.1200102</v>
      </c>
      <c r="BW695" s="32" t="s">
        <v>114</v>
      </c>
      <c r="BX695" s="32" t="s">
        <v>732</v>
      </c>
      <c r="BY695" s="32" t="s">
        <v>720</v>
      </c>
      <c r="BZ695" s="32">
        <v>1200102</v>
      </c>
      <c r="CA695" s="32">
        <v>792</v>
      </c>
    </row>
    <row r="696" spans="74:79" x14ac:dyDescent="0.25">
      <c r="BV696" s="255" t="str">
        <f t="shared" si="148"/>
        <v>F.LO.12_15T.1200102</v>
      </c>
      <c r="BW696" s="32" t="s">
        <v>114</v>
      </c>
      <c r="BX696" s="32" t="s">
        <v>732</v>
      </c>
      <c r="BY696" s="32" t="s">
        <v>723</v>
      </c>
      <c r="BZ696" s="32">
        <v>1200102</v>
      </c>
      <c r="CA696" s="32">
        <v>883</v>
      </c>
    </row>
    <row r="697" spans="74:79" x14ac:dyDescent="0.25">
      <c r="BV697" s="255" t="str">
        <f t="shared" si="148"/>
        <v>F.LO.13_14T.1200102</v>
      </c>
      <c r="BW697" s="32" t="s">
        <v>114</v>
      </c>
      <c r="BX697" s="32" t="s">
        <v>732</v>
      </c>
      <c r="BY697" s="32" t="s">
        <v>721</v>
      </c>
      <c r="BZ697" s="32">
        <v>1200102</v>
      </c>
      <c r="CA697" s="32">
        <v>792</v>
      </c>
    </row>
    <row r="698" spans="74:79" x14ac:dyDescent="0.25">
      <c r="BV698" s="255" t="str">
        <f t="shared" si="148"/>
        <v>F.LO.13_15T.1200102</v>
      </c>
      <c r="BW698" s="32" t="s">
        <v>114</v>
      </c>
      <c r="BX698" s="32" t="s">
        <v>732</v>
      </c>
      <c r="BY698" s="32" t="s">
        <v>724</v>
      </c>
      <c r="BZ698" s="32">
        <v>1200102</v>
      </c>
      <c r="CA698" s="32">
        <v>883</v>
      </c>
    </row>
    <row r="699" spans="74:79" x14ac:dyDescent="0.25">
      <c r="BV699" s="255" t="str">
        <f t="shared" si="148"/>
        <v>F.LO.14_14T.1200102</v>
      </c>
      <c r="BW699" s="32" t="s">
        <v>114</v>
      </c>
      <c r="BX699" s="32" t="s">
        <v>732</v>
      </c>
      <c r="BY699" s="32" t="s">
        <v>722</v>
      </c>
      <c r="BZ699" s="32">
        <v>1200102</v>
      </c>
      <c r="CA699" s="32">
        <v>792</v>
      </c>
    </row>
    <row r="700" spans="74:79" x14ac:dyDescent="0.25">
      <c r="BV700" s="255" t="str">
        <f t="shared" si="148"/>
        <v>F.LO.14_15T.1200102</v>
      </c>
      <c r="BW700" s="32" t="s">
        <v>114</v>
      </c>
      <c r="BX700" s="32" t="s">
        <v>732</v>
      </c>
      <c r="BY700" s="32" t="s">
        <v>725</v>
      </c>
      <c r="BZ700" s="32">
        <v>1200102</v>
      </c>
      <c r="CA700" s="32">
        <v>883</v>
      </c>
    </row>
    <row r="701" spans="74:79" x14ac:dyDescent="0.25">
      <c r="BV701" s="255" t="str">
        <f t="shared" si="148"/>
        <v>F.LO.14_16T.1200102</v>
      </c>
      <c r="BW701" s="32" t="s">
        <v>114</v>
      </c>
      <c r="BX701" s="32" t="s">
        <v>732</v>
      </c>
      <c r="BY701" s="32" t="s">
        <v>727</v>
      </c>
      <c r="BZ701" s="32">
        <v>1200102</v>
      </c>
      <c r="CA701" s="32">
        <v>883</v>
      </c>
    </row>
    <row r="702" spans="74:79" x14ac:dyDescent="0.25">
      <c r="BV702" s="255" t="str">
        <f t="shared" si="148"/>
        <v>F.LO.16_16T.1200102</v>
      </c>
      <c r="BW702" s="32" t="s">
        <v>114</v>
      </c>
      <c r="BX702" s="32" t="s">
        <v>732</v>
      </c>
      <c r="BY702" s="32" t="s">
        <v>729</v>
      </c>
      <c r="BZ702" s="32">
        <v>1200102</v>
      </c>
      <c r="CA702" s="32">
        <v>883</v>
      </c>
    </row>
    <row r="703" spans="74:79" x14ac:dyDescent="0.25">
      <c r="BV703" s="255" t="str">
        <f t="shared" si="148"/>
        <v>F.LO.7_10T.1200102</v>
      </c>
      <c r="BW703" s="32" t="s">
        <v>114</v>
      </c>
      <c r="BX703" s="32" t="s">
        <v>732</v>
      </c>
      <c r="BY703" s="32" t="s">
        <v>668</v>
      </c>
      <c r="BZ703" s="32">
        <v>1200102</v>
      </c>
      <c r="CA703" s="32">
        <v>660</v>
      </c>
    </row>
    <row r="704" spans="74:79" x14ac:dyDescent="0.25">
      <c r="BV704" s="255" t="str">
        <f t="shared" si="148"/>
        <v>F.LO.7_8T.1200102</v>
      </c>
      <c r="BW704" s="32" t="s">
        <v>114</v>
      </c>
      <c r="BX704" s="32" t="s">
        <v>732</v>
      </c>
      <c r="BY704" s="32" t="s">
        <v>666</v>
      </c>
      <c r="BZ704" s="32">
        <v>1200102</v>
      </c>
      <c r="CA704" s="32">
        <v>537</v>
      </c>
    </row>
    <row r="705" spans="74:79" x14ac:dyDescent="0.25">
      <c r="BV705" s="255" t="str">
        <f t="shared" si="148"/>
        <v>F.LO.7H_10T.1200102</v>
      </c>
      <c r="BW705" s="32" t="s">
        <v>114</v>
      </c>
      <c r="BX705" s="32" t="s">
        <v>732</v>
      </c>
      <c r="BY705" s="32" t="s">
        <v>674</v>
      </c>
      <c r="BZ705" s="32">
        <v>1200102</v>
      </c>
      <c r="CA705" s="32">
        <v>660</v>
      </c>
    </row>
    <row r="706" spans="74:79" x14ac:dyDescent="0.25">
      <c r="BV706" s="255" t="str">
        <f t="shared" si="148"/>
        <v>F.LO.8_10T.1200102</v>
      </c>
      <c r="BW706" s="32" t="s">
        <v>114</v>
      </c>
      <c r="BX706" s="32" t="s">
        <v>732</v>
      </c>
      <c r="BY706" s="32" t="s">
        <v>669</v>
      </c>
      <c r="BZ706" s="32">
        <v>1200102</v>
      </c>
      <c r="CA706" s="32">
        <v>660</v>
      </c>
    </row>
    <row r="707" spans="74:79" x14ac:dyDescent="0.25">
      <c r="BV707" s="255" t="str">
        <f t="shared" si="148"/>
        <v>F.LO.8_12T.1200102</v>
      </c>
      <c r="BW707" s="32" t="s">
        <v>114</v>
      </c>
      <c r="BX707" s="32" t="s">
        <v>732</v>
      </c>
      <c r="BY707" s="32" t="s">
        <v>671</v>
      </c>
      <c r="BZ707" s="32">
        <v>1200102</v>
      </c>
      <c r="CA707" s="32">
        <v>681</v>
      </c>
    </row>
    <row r="708" spans="74:79" x14ac:dyDescent="0.25">
      <c r="BV708" s="255" t="str">
        <f t="shared" si="148"/>
        <v>F.LO.8_8T.1200102</v>
      </c>
      <c r="BW708" s="32" t="s">
        <v>114</v>
      </c>
      <c r="BX708" s="32" t="s">
        <v>732</v>
      </c>
      <c r="BY708" s="32" t="s">
        <v>667</v>
      </c>
      <c r="BZ708" s="32">
        <v>1200102</v>
      </c>
      <c r="CA708" s="32">
        <v>537</v>
      </c>
    </row>
    <row r="709" spans="74:79" x14ac:dyDescent="0.25">
      <c r="BV709" s="255" t="str">
        <f t="shared" si="148"/>
        <v>F.LO.9_10T.1200102</v>
      </c>
      <c r="BW709" s="32" t="s">
        <v>114</v>
      </c>
      <c r="BX709" s="32" t="s">
        <v>732</v>
      </c>
      <c r="BY709" s="32" t="s">
        <v>670</v>
      </c>
      <c r="BZ709" s="32">
        <v>1200102</v>
      </c>
      <c r="CA709" s="32">
        <v>660</v>
      </c>
    </row>
    <row r="710" spans="74:79" x14ac:dyDescent="0.25">
      <c r="BV710" s="255" t="str">
        <f t="shared" si="148"/>
        <v>F.LO.9_12T.1200102</v>
      </c>
      <c r="BW710" s="32" t="s">
        <v>114</v>
      </c>
      <c r="BX710" s="32" t="s">
        <v>732</v>
      </c>
      <c r="BY710" s="32" t="s">
        <v>672</v>
      </c>
      <c r="BZ710" s="32">
        <v>1200102</v>
      </c>
      <c r="CA710" s="32">
        <v>681</v>
      </c>
    </row>
    <row r="711" spans="74:79" x14ac:dyDescent="0.25">
      <c r="BV711" s="255" t="str">
        <f t="shared" si="148"/>
        <v>F.LO.9_13T.1200102</v>
      </c>
      <c r="BW711" s="32" t="s">
        <v>114</v>
      </c>
      <c r="BX711" s="32" t="s">
        <v>732</v>
      </c>
      <c r="BY711" s="32" t="s">
        <v>673</v>
      </c>
      <c r="BZ711" s="32">
        <v>1200102</v>
      </c>
      <c r="CA711" s="32">
        <v>723</v>
      </c>
    </row>
    <row r="712" spans="74:79" x14ac:dyDescent="0.25">
      <c r="BV712" s="255" t="str">
        <f t="shared" si="148"/>
        <v>F.LX.12_18B.1200102</v>
      </c>
      <c r="BW712" s="32" t="s">
        <v>114</v>
      </c>
      <c r="BX712" s="32" t="s">
        <v>391</v>
      </c>
      <c r="BY712" s="32" t="s">
        <v>683</v>
      </c>
      <c r="BZ712" s="32">
        <v>1200102</v>
      </c>
      <c r="CA712" s="32">
        <v>2641</v>
      </c>
    </row>
    <row r="713" spans="74:79" x14ac:dyDescent="0.25">
      <c r="BV713" s="255" t="str">
        <f t="shared" si="148"/>
        <v>F.LX.12_20B.1200102</v>
      </c>
      <c r="BW713" s="32" t="s">
        <v>114</v>
      </c>
      <c r="BX713" s="32" t="s">
        <v>391</v>
      </c>
      <c r="BY713" s="32" t="s">
        <v>686</v>
      </c>
      <c r="BZ713" s="32">
        <v>1200102</v>
      </c>
      <c r="CA713" s="32">
        <v>2662</v>
      </c>
    </row>
    <row r="714" spans="74:79" x14ac:dyDescent="0.25">
      <c r="BV714" s="255" t="str">
        <f t="shared" si="148"/>
        <v>F.LX.12_22B.1200102</v>
      </c>
      <c r="BW714" s="32" t="s">
        <v>114</v>
      </c>
      <c r="BX714" s="32" t="s">
        <v>391</v>
      </c>
      <c r="BY714" s="32" t="s">
        <v>690</v>
      </c>
      <c r="BZ714" s="32">
        <v>1200102</v>
      </c>
      <c r="CA714" s="32">
        <v>2672</v>
      </c>
    </row>
    <row r="715" spans="74:79" x14ac:dyDescent="0.25">
      <c r="BV715" s="255" t="str">
        <f t="shared" si="148"/>
        <v>F.LX.12_24B.1200102</v>
      </c>
      <c r="BW715" s="32" t="s">
        <v>114</v>
      </c>
      <c r="BX715" s="32" t="s">
        <v>391</v>
      </c>
      <c r="BY715" s="32" t="s">
        <v>695</v>
      </c>
      <c r="BZ715" s="32">
        <v>1200102</v>
      </c>
      <c r="CA715" s="32">
        <v>2814</v>
      </c>
    </row>
    <row r="716" spans="74:79" x14ac:dyDescent="0.25">
      <c r="BV716" s="255" t="str">
        <f t="shared" si="148"/>
        <v>F.LX.12_26B.1200102</v>
      </c>
      <c r="BW716" s="32" t="s">
        <v>114</v>
      </c>
      <c r="BX716" s="32" t="s">
        <v>391</v>
      </c>
      <c r="BY716" s="32" t="s">
        <v>700</v>
      </c>
      <c r="BZ716" s="32">
        <v>1200102</v>
      </c>
      <c r="CA716" s="32">
        <v>2835</v>
      </c>
    </row>
    <row r="717" spans="74:79" x14ac:dyDescent="0.25">
      <c r="BV717" s="255" t="str">
        <f t="shared" si="148"/>
        <v>F.LX.14_18B.1200102</v>
      </c>
      <c r="BW717" s="32" t="s">
        <v>114</v>
      </c>
      <c r="BX717" s="32" t="s">
        <v>391</v>
      </c>
      <c r="BY717" s="32" t="s">
        <v>684</v>
      </c>
      <c r="BZ717" s="32">
        <v>1200102</v>
      </c>
      <c r="CA717" s="32">
        <v>2641</v>
      </c>
    </row>
    <row r="718" spans="74:79" x14ac:dyDescent="0.25">
      <c r="BV718" s="255" t="str">
        <f t="shared" si="148"/>
        <v>F.LX.14_20B.1200102</v>
      </c>
      <c r="BW718" s="32" t="s">
        <v>114</v>
      </c>
      <c r="BX718" s="32" t="s">
        <v>391</v>
      </c>
      <c r="BY718" s="32" t="s">
        <v>687</v>
      </c>
      <c r="BZ718" s="32">
        <v>1200102</v>
      </c>
      <c r="CA718" s="32">
        <v>2662</v>
      </c>
    </row>
    <row r="719" spans="74:79" x14ac:dyDescent="0.25">
      <c r="BV719" s="255" t="str">
        <f t="shared" si="148"/>
        <v>F.LX.14_22B.1200102</v>
      </c>
      <c r="BW719" s="32" t="s">
        <v>114</v>
      </c>
      <c r="BX719" s="32" t="s">
        <v>391</v>
      </c>
      <c r="BY719" s="32" t="s">
        <v>691</v>
      </c>
      <c r="BZ719" s="32">
        <v>1200102</v>
      </c>
      <c r="CA719" s="32">
        <v>2672</v>
      </c>
    </row>
    <row r="720" spans="74:79" x14ac:dyDescent="0.25">
      <c r="BV720" s="255" t="str">
        <f t="shared" si="148"/>
        <v>F.LX.14_24B.1200102</v>
      </c>
      <c r="BW720" s="32" t="s">
        <v>114</v>
      </c>
      <c r="BX720" s="32" t="s">
        <v>391</v>
      </c>
      <c r="BY720" s="32" t="s">
        <v>696</v>
      </c>
      <c r="BZ720" s="32">
        <v>1200102</v>
      </c>
      <c r="CA720" s="32">
        <v>2814</v>
      </c>
    </row>
    <row r="721" spans="74:79" x14ac:dyDescent="0.25">
      <c r="BV721" s="255" t="str">
        <f t="shared" si="148"/>
        <v>F.LX.14_26B.1200102</v>
      </c>
      <c r="BW721" s="32" t="s">
        <v>114</v>
      </c>
      <c r="BX721" s="32" t="s">
        <v>391</v>
      </c>
      <c r="BY721" s="32" t="s">
        <v>701</v>
      </c>
      <c r="BZ721" s="32">
        <v>1200102</v>
      </c>
      <c r="CA721" s="32">
        <v>2835</v>
      </c>
    </row>
    <row r="722" spans="74:79" x14ac:dyDescent="0.25">
      <c r="BV722" s="255" t="str">
        <f t="shared" si="148"/>
        <v>F.LX.16_18B.1200102</v>
      </c>
      <c r="BW722" s="32" t="s">
        <v>114</v>
      </c>
      <c r="BX722" s="32" t="s">
        <v>391</v>
      </c>
      <c r="BY722" s="32" t="s">
        <v>685</v>
      </c>
      <c r="BZ722" s="32">
        <v>1200102</v>
      </c>
      <c r="CA722" s="32">
        <v>2641</v>
      </c>
    </row>
    <row r="723" spans="74:79" x14ac:dyDescent="0.25">
      <c r="BV723" s="255" t="str">
        <f t="shared" si="148"/>
        <v>F.LX.16_20B.1200102</v>
      </c>
      <c r="BW723" s="32" t="s">
        <v>114</v>
      </c>
      <c r="BX723" s="32" t="s">
        <v>391</v>
      </c>
      <c r="BY723" s="32" t="s">
        <v>688</v>
      </c>
      <c r="BZ723" s="32">
        <v>1200102</v>
      </c>
      <c r="CA723" s="32">
        <v>2662</v>
      </c>
    </row>
    <row r="724" spans="74:79" x14ac:dyDescent="0.25">
      <c r="BV724" s="255" t="str">
        <f t="shared" si="148"/>
        <v>F.LX.16_22B.1200102</v>
      </c>
      <c r="BW724" s="32" t="s">
        <v>114</v>
      </c>
      <c r="BX724" s="32" t="s">
        <v>391</v>
      </c>
      <c r="BY724" s="32" t="s">
        <v>692</v>
      </c>
      <c r="BZ724" s="32">
        <v>1200102</v>
      </c>
      <c r="CA724" s="32">
        <v>2672</v>
      </c>
    </row>
    <row r="725" spans="74:79" x14ac:dyDescent="0.25">
      <c r="BV725" s="255" t="str">
        <f t="shared" si="148"/>
        <v>F.LX.16_24B.1200102</v>
      </c>
      <c r="BW725" s="32" t="s">
        <v>114</v>
      </c>
      <c r="BX725" s="32" t="s">
        <v>391</v>
      </c>
      <c r="BY725" s="32" t="s">
        <v>697</v>
      </c>
      <c r="BZ725" s="32">
        <v>1200102</v>
      </c>
      <c r="CA725" s="32">
        <v>2814</v>
      </c>
    </row>
    <row r="726" spans="74:79" x14ac:dyDescent="0.25">
      <c r="BV726" s="255" t="str">
        <f t="shared" ref="BV726:BV789" si="149">CONCATENATE(BW726,".",BX726,".",BY726,".",BZ726)</f>
        <v>F.LX.16_26B.1200102</v>
      </c>
      <c r="BW726" s="32" t="s">
        <v>114</v>
      </c>
      <c r="BX726" s="32" t="s">
        <v>391</v>
      </c>
      <c r="BY726" s="32" t="s">
        <v>702</v>
      </c>
      <c r="BZ726" s="32">
        <v>1200102</v>
      </c>
      <c r="CA726" s="32">
        <v>2835</v>
      </c>
    </row>
    <row r="727" spans="74:79" x14ac:dyDescent="0.25">
      <c r="BV727" s="255" t="str">
        <f t="shared" si="149"/>
        <v>F.LX.18_20B.1200102</v>
      </c>
      <c r="BW727" s="32" t="s">
        <v>114</v>
      </c>
      <c r="BX727" s="32" t="s">
        <v>391</v>
      </c>
      <c r="BY727" s="32" t="s">
        <v>689</v>
      </c>
      <c r="BZ727" s="32">
        <v>1200102</v>
      </c>
      <c r="CA727" s="32">
        <v>2662</v>
      </c>
    </row>
    <row r="728" spans="74:79" x14ac:dyDescent="0.25">
      <c r="BV728" s="255" t="str">
        <f t="shared" si="149"/>
        <v>F.LX.18_22B.1200102</v>
      </c>
      <c r="BW728" s="32" t="s">
        <v>114</v>
      </c>
      <c r="BX728" s="32" t="s">
        <v>391</v>
      </c>
      <c r="BY728" s="32" t="s">
        <v>693</v>
      </c>
      <c r="BZ728" s="32">
        <v>1200102</v>
      </c>
      <c r="CA728" s="32">
        <v>2672</v>
      </c>
    </row>
    <row r="729" spans="74:79" x14ac:dyDescent="0.25">
      <c r="BV729" s="255" t="str">
        <f t="shared" si="149"/>
        <v>F.LX.18_24B.1200102</v>
      </c>
      <c r="BW729" s="32" t="s">
        <v>114</v>
      </c>
      <c r="BX729" s="32" t="s">
        <v>391</v>
      </c>
      <c r="BY729" s="32" t="s">
        <v>698</v>
      </c>
      <c r="BZ729" s="32">
        <v>1200102</v>
      </c>
      <c r="CA729" s="32">
        <v>2814</v>
      </c>
    </row>
    <row r="730" spans="74:79" x14ac:dyDescent="0.25">
      <c r="BV730" s="255" t="str">
        <f t="shared" si="149"/>
        <v>F.LX.20_20B.1200102</v>
      </c>
      <c r="BW730" s="32" t="s">
        <v>114</v>
      </c>
      <c r="BX730" s="32" t="s">
        <v>391</v>
      </c>
      <c r="BY730" s="32" t="s">
        <v>738</v>
      </c>
      <c r="BZ730" s="32">
        <v>1200102</v>
      </c>
      <c r="CA730" s="32">
        <v>2662</v>
      </c>
    </row>
    <row r="731" spans="74:79" x14ac:dyDescent="0.25">
      <c r="BV731" s="255" t="str">
        <f t="shared" si="149"/>
        <v>F.LX.20_22B.1200102</v>
      </c>
      <c r="BW731" s="32" t="s">
        <v>114</v>
      </c>
      <c r="BX731" s="32" t="s">
        <v>391</v>
      </c>
      <c r="BY731" s="32" t="s">
        <v>694</v>
      </c>
      <c r="BZ731" s="32">
        <v>1200102</v>
      </c>
      <c r="CA731" s="32">
        <v>2672</v>
      </c>
    </row>
    <row r="732" spans="74:79" x14ac:dyDescent="0.25">
      <c r="BV732" s="255" t="str">
        <f t="shared" si="149"/>
        <v>F.LX.20_24B.1200102</v>
      </c>
      <c r="BW732" s="32" t="s">
        <v>114</v>
      </c>
      <c r="BX732" s="32" t="s">
        <v>391</v>
      </c>
      <c r="BY732" s="32" t="s">
        <v>699</v>
      </c>
      <c r="BZ732" s="32">
        <v>1200102</v>
      </c>
      <c r="CA732" s="32">
        <v>2814</v>
      </c>
    </row>
    <row r="733" spans="74:79" x14ac:dyDescent="0.25">
      <c r="BV733" s="255" t="str">
        <f t="shared" si="149"/>
        <v>F.LX.12_14F.1200102</v>
      </c>
      <c r="BW733" s="32" t="s">
        <v>114</v>
      </c>
      <c r="BX733" s="32" t="s">
        <v>391</v>
      </c>
      <c r="BY733" s="32" t="s">
        <v>703</v>
      </c>
      <c r="BZ733" s="32">
        <v>1200102</v>
      </c>
      <c r="CA733" s="32">
        <v>1710</v>
      </c>
    </row>
    <row r="734" spans="74:79" x14ac:dyDescent="0.25">
      <c r="BV734" s="255" t="str">
        <f t="shared" si="149"/>
        <v>F.LX.13_14F.1200102</v>
      </c>
      <c r="BW734" s="32" t="s">
        <v>114</v>
      </c>
      <c r="BX734" s="32" t="s">
        <v>391</v>
      </c>
      <c r="BY734" s="32" t="s">
        <v>704</v>
      </c>
      <c r="BZ734" s="32">
        <v>1200102</v>
      </c>
      <c r="CA734" s="32">
        <v>1710</v>
      </c>
    </row>
    <row r="735" spans="74:79" x14ac:dyDescent="0.25">
      <c r="BV735" s="255" t="str">
        <f t="shared" si="149"/>
        <v>F.LX.13_15F.1200102</v>
      </c>
      <c r="BW735" s="32" t="s">
        <v>114</v>
      </c>
      <c r="BX735" s="32" t="s">
        <v>391</v>
      </c>
      <c r="BY735" s="32" t="s">
        <v>706</v>
      </c>
      <c r="BZ735" s="32">
        <v>1200102</v>
      </c>
      <c r="CA735" s="32">
        <v>1772</v>
      </c>
    </row>
    <row r="736" spans="74:79" x14ac:dyDescent="0.25">
      <c r="BV736" s="255" t="str">
        <f t="shared" si="149"/>
        <v>F.LX.13_16F.1200102</v>
      </c>
      <c r="BW736" s="32" t="s">
        <v>114</v>
      </c>
      <c r="BX736" s="32" t="s">
        <v>391</v>
      </c>
      <c r="BY736" s="32" t="s">
        <v>708</v>
      </c>
      <c r="BZ736" s="32">
        <v>1200102</v>
      </c>
      <c r="CA736" s="32">
        <v>1801</v>
      </c>
    </row>
    <row r="737" spans="74:79" x14ac:dyDescent="0.25">
      <c r="BV737" s="255" t="str">
        <f t="shared" si="149"/>
        <v>F.LX.14_14F.1200102</v>
      </c>
      <c r="BW737" s="32" t="s">
        <v>114</v>
      </c>
      <c r="BX737" s="32" t="s">
        <v>391</v>
      </c>
      <c r="BY737" s="32" t="s">
        <v>705</v>
      </c>
      <c r="BZ737" s="32">
        <v>1200102</v>
      </c>
      <c r="CA737" s="32">
        <v>1710</v>
      </c>
    </row>
    <row r="738" spans="74:79" x14ac:dyDescent="0.25">
      <c r="BV738" s="255" t="str">
        <f t="shared" si="149"/>
        <v>F.LX.14_15F.1200102</v>
      </c>
      <c r="BW738" s="32" t="s">
        <v>114</v>
      </c>
      <c r="BX738" s="32" t="s">
        <v>391</v>
      </c>
      <c r="BY738" s="32" t="s">
        <v>707</v>
      </c>
      <c r="BZ738" s="32">
        <v>1200102</v>
      </c>
      <c r="CA738" s="32">
        <v>1772</v>
      </c>
    </row>
    <row r="739" spans="74:79" x14ac:dyDescent="0.25">
      <c r="BV739" s="255" t="str">
        <f t="shared" si="149"/>
        <v>F.LX.14_16F.1200102</v>
      </c>
      <c r="BW739" s="32" t="s">
        <v>114</v>
      </c>
      <c r="BX739" s="32" t="s">
        <v>391</v>
      </c>
      <c r="BY739" s="32" t="s">
        <v>709</v>
      </c>
      <c r="BZ739" s="32">
        <v>1200102</v>
      </c>
      <c r="CA739" s="32">
        <v>1801</v>
      </c>
    </row>
    <row r="740" spans="74:79" x14ac:dyDescent="0.25">
      <c r="BV740" s="255" t="str">
        <f t="shared" si="149"/>
        <v>F.LX.15_16F.1200102</v>
      </c>
      <c r="BW740" s="32" t="s">
        <v>114</v>
      </c>
      <c r="BX740" s="32" t="s">
        <v>391</v>
      </c>
      <c r="BY740" s="32" t="s">
        <v>710</v>
      </c>
      <c r="BZ740" s="32">
        <v>1200102</v>
      </c>
      <c r="CA740" s="32">
        <v>1801</v>
      </c>
    </row>
    <row r="741" spans="74:79" x14ac:dyDescent="0.25">
      <c r="BV741" s="255" t="str">
        <f t="shared" si="149"/>
        <v>F.LX.16_16F.1200102</v>
      </c>
      <c r="BW741" s="32" t="s">
        <v>114</v>
      </c>
      <c r="BX741" s="32" t="s">
        <v>391</v>
      </c>
      <c r="BY741" s="32" t="s">
        <v>711</v>
      </c>
      <c r="BZ741" s="32">
        <v>1200102</v>
      </c>
      <c r="CA741" s="32">
        <v>1801</v>
      </c>
    </row>
    <row r="742" spans="74:79" x14ac:dyDescent="0.25">
      <c r="BV742" s="255" t="str">
        <f t="shared" si="149"/>
        <v>F.LX.16_18F.1200102</v>
      </c>
      <c r="BW742" s="32" t="s">
        <v>114</v>
      </c>
      <c r="BX742" s="32" t="s">
        <v>391</v>
      </c>
      <c r="BY742" s="32" t="s">
        <v>712</v>
      </c>
      <c r="BZ742" s="32">
        <v>1200102</v>
      </c>
      <c r="CA742" s="32">
        <v>1845</v>
      </c>
    </row>
    <row r="743" spans="74:79" x14ac:dyDescent="0.25">
      <c r="BV743" s="255" t="str">
        <f t="shared" si="149"/>
        <v>F.LX.10_14S.1200102</v>
      </c>
      <c r="BW743" s="32" t="s">
        <v>114</v>
      </c>
      <c r="BX743" s="32" t="s">
        <v>391</v>
      </c>
      <c r="BY743" s="32" t="s">
        <v>733</v>
      </c>
      <c r="BZ743" s="32">
        <v>1200102</v>
      </c>
      <c r="CA743" s="32">
        <v>1325</v>
      </c>
    </row>
    <row r="744" spans="74:79" x14ac:dyDescent="0.25">
      <c r="BV744" s="255" t="str">
        <f t="shared" si="149"/>
        <v>F.LX.4_14S.1200102</v>
      </c>
      <c r="BW744" s="32" t="s">
        <v>114</v>
      </c>
      <c r="BX744" s="32" t="s">
        <v>391</v>
      </c>
      <c r="BY744" s="32" t="s">
        <v>739</v>
      </c>
      <c r="BZ744" s="32">
        <v>1200102</v>
      </c>
      <c r="CA744" s="32">
        <v>1167</v>
      </c>
    </row>
    <row r="745" spans="74:79" x14ac:dyDescent="0.25">
      <c r="BV745" s="255" t="str">
        <f t="shared" si="149"/>
        <v>F.LX.4_14x8S.1200102</v>
      </c>
      <c r="BW745" s="32" t="s">
        <v>114</v>
      </c>
      <c r="BX745" s="32" t="s">
        <v>391</v>
      </c>
      <c r="BY745" s="32" t="s">
        <v>740</v>
      </c>
      <c r="BZ745" s="32">
        <v>1200102</v>
      </c>
      <c r="CA745" s="32">
        <v>1167</v>
      </c>
    </row>
    <row r="746" spans="74:79" x14ac:dyDescent="0.25">
      <c r="BV746" s="255" t="str">
        <f t="shared" si="149"/>
        <v>F.LX.5_14S.1200102</v>
      </c>
      <c r="BW746" s="32" t="s">
        <v>114</v>
      </c>
      <c r="BX746" s="32" t="s">
        <v>391</v>
      </c>
      <c r="BY746" s="32" t="s">
        <v>677</v>
      </c>
      <c r="BZ746" s="32">
        <v>1200102</v>
      </c>
      <c r="CA746" s="32">
        <v>1167</v>
      </c>
    </row>
    <row r="747" spans="74:79" x14ac:dyDescent="0.25">
      <c r="BV747" s="255" t="str">
        <f t="shared" si="149"/>
        <v>F.LX.5_14x8S.1200102</v>
      </c>
      <c r="BW747" s="32" t="s">
        <v>114</v>
      </c>
      <c r="BX747" s="32" t="s">
        <v>391</v>
      </c>
      <c r="BY747" s="32" t="s">
        <v>681</v>
      </c>
      <c r="BZ747" s="32">
        <v>1200102</v>
      </c>
      <c r="CA747" s="32">
        <v>1167</v>
      </c>
    </row>
    <row r="748" spans="74:79" x14ac:dyDescent="0.25">
      <c r="BV748" s="255" t="str">
        <f t="shared" si="149"/>
        <v>F.LX.5H_14S.1200102</v>
      </c>
      <c r="BW748" s="32" t="s">
        <v>114</v>
      </c>
      <c r="BX748" s="32" t="s">
        <v>391</v>
      </c>
      <c r="BY748" s="32" t="s">
        <v>1208</v>
      </c>
      <c r="BZ748" s="32">
        <v>1200102</v>
      </c>
      <c r="CA748" s="32">
        <v>1193</v>
      </c>
    </row>
    <row r="749" spans="74:79" x14ac:dyDescent="0.25">
      <c r="BV749" s="255" t="str">
        <f t="shared" si="149"/>
        <v>F.LX.5H_14x8S.1200102</v>
      </c>
      <c r="BW749" s="32" t="s">
        <v>114</v>
      </c>
      <c r="BX749" s="32" t="s">
        <v>391</v>
      </c>
      <c r="BY749" s="32" t="s">
        <v>1209</v>
      </c>
      <c r="BZ749" s="32">
        <v>1200102</v>
      </c>
      <c r="CA749" s="32">
        <v>1193</v>
      </c>
    </row>
    <row r="750" spans="74:79" x14ac:dyDescent="0.25">
      <c r="BV750" s="255" t="str">
        <f t="shared" si="149"/>
        <v>F.LX.6_12S.1200102</v>
      </c>
      <c r="BW750" s="32" t="s">
        <v>114</v>
      </c>
      <c r="BX750" s="32" t="s">
        <v>391</v>
      </c>
      <c r="BY750" s="32" t="s">
        <v>675</v>
      </c>
      <c r="BZ750" s="32">
        <v>1200102</v>
      </c>
      <c r="CA750" s="32">
        <v>1178</v>
      </c>
    </row>
    <row r="751" spans="74:79" x14ac:dyDescent="0.25">
      <c r="BV751" s="255" t="str">
        <f t="shared" si="149"/>
        <v>F.LX.6_13S.1200102</v>
      </c>
      <c r="BW751" s="32" t="s">
        <v>114</v>
      </c>
      <c r="BX751" s="32" t="s">
        <v>391</v>
      </c>
      <c r="BY751" s="32" t="s">
        <v>676</v>
      </c>
      <c r="BZ751" s="32">
        <v>1200102</v>
      </c>
      <c r="CA751" s="32">
        <v>1206</v>
      </c>
    </row>
    <row r="752" spans="74:79" x14ac:dyDescent="0.25">
      <c r="BV752" s="255" t="str">
        <f t="shared" si="149"/>
        <v>F.LX.6H_14S.1200102</v>
      </c>
      <c r="BW752" s="32" t="s">
        <v>114</v>
      </c>
      <c r="BX752" s="32" t="s">
        <v>391</v>
      </c>
      <c r="BY752" s="32" t="s">
        <v>680</v>
      </c>
      <c r="BZ752" s="32">
        <v>1200102</v>
      </c>
      <c r="CA752" s="32">
        <v>1246</v>
      </c>
    </row>
    <row r="753" spans="74:79" x14ac:dyDescent="0.25">
      <c r="BV753" s="255" t="str">
        <f t="shared" si="149"/>
        <v>F.LX.6H_14x8S.1200102</v>
      </c>
      <c r="BW753" s="32" t="s">
        <v>114</v>
      </c>
      <c r="BX753" s="32" t="s">
        <v>391</v>
      </c>
      <c r="BY753" s="32" t="s">
        <v>682</v>
      </c>
      <c r="BZ753" s="32">
        <v>1200102</v>
      </c>
      <c r="CA753" s="32">
        <v>1246</v>
      </c>
    </row>
    <row r="754" spans="74:79" x14ac:dyDescent="0.25">
      <c r="BV754" s="255" t="str">
        <f t="shared" si="149"/>
        <v>F.LX.8_14S.1200102</v>
      </c>
      <c r="BW754" s="32" t="s">
        <v>114</v>
      </c>
      <c r="BX754" s="32" t="s">
        <v>391</v>
      </c>
      <c r="BY754" s="32" t="s">
        <v>678</v>
      </c>
      <c r="BZ754" s="32">
        <v>1200102</v>
      </c>
      <c r="CA754" s="32">
        <v>1297</v>
      </c>
    </row>
    <row r="755" spans="74:79" x14ac:dyDescent="0.25">
      <c r="BV755" s="255" t="str">
        <f t="shared" si="149"/>
        <v>F.LX.10_12T.1200102</v>
      </c>
      <c r="BW755" s="32" t="s">
        <v>114</v>
      </c>
      <c r="BX755" s="32" t="s">
        <v>391</v>
      </c>
      <c r="BY755" s="32" t="s">
        <v>713</v>
      </c>
      <c r="BZ755" s="32">
        <v>1200102</v>
      </c>
      <c r="CA755" s="32">
        <v>1475</v>
      </c>
    </row>
    <row r="756" spans="74:79" x14ac:dyDescent="0.25">
      <c r="BV756" s="255" t="str">
        <f t="shared" si="149"/>
        <v>F.LX.10_13T.1200102</v>
      </c>
      <c r="BW756" s="32" t="s">
        <v>114</v>
      </c>
      <c r="BX756" s="32" t="s">
        <v>391</v>
      </c>
      <c r="BY756" s="32" t="s">
        <v>715</v>
      </c>
      <c r="BZ756" s="32">
        <v>1200102</v>
      </c>
      <c r="CA756" s="32">
        <v>1486</v>
      </c>
    </row>
    <row r="757" spans="74:79" x14ac:dyDescent="0.25">
      <c r="BV757" s="255" t="str">
        <f t="shared" si="149"/>
        <v>F.LX.10_14T.1200102</v>
      </c>
      <c r="BW757" s="32" t="s">
        <v>114</v>
      </c>
      <c r="BX757" s="32" t="s">
        <v>391</v>
      </c>
      <c r="BY757" s="32" t="s">
        <v>718</v>
      </c>
      <c r="BZ757" s="32">
        <v>1200102</v>
      </c>
      <c r="CA757" s="32">
        <v>1612</v>
      </c>
    </row>
    <row r="758" spans="74:79" x14ac:dyDescent="0.25">
      <c r="BV758" s="255" t="str">
        <f t="shared" si="149"/>
        <v>F.LX.11_12T.1200102</v>
      </c>
      <c r="BW758" s="32" t="s">
        <v>114</v>
      </c>
      <c r="BX758" s="32" t="s">
        <v>391</v>
      </c>
      <c r="BY758" s="32" t="s">
        <v>714</v>
      </c>
      <c r="BZ758" s="32">
        <v>1200102</v>
      </c>
      <c r="CA758" s="32">
        <v>1475</v>
      </c>
    </row>
    <row r="759" spans="74:79" x14ac:dyDescent="0.25">
      <c r="BV759" s="255" t="str">
        <f t="shared" si="149"/>
        <v>F.LX.11_13T.1200102</v>
      </c>
      <c r="BW759" s="32" t="s">
        <v>114</v>
      </c>
      <c r="BX759" s="32" t="s">
        <v>391</v>
      </c>
      <c r="BY759" s="32" t="s">
        <v>716</v>
      </c>
      <c r="BZ759" s="32">
        <v>1200102</v>
      </c>
      <c r="CA759" s="32">
        <v>1486</v>
      </c>
    </row>
    <row r="760" spans="74:79" x14ac:dyDescent="0.25">
      <c r="BV760" s="255" t="str">
        <f t="shared" si="149"/>
        <v>F.LX.11_14T.1200102</v>
      </c>
      <c r="BW760" s="32" t="s">
        <v>114</v>
      </c>
      <c r="BX760" s="32" t="s">
        <v>391</v>
      </c>
      <c r="BY760" s="32" t="s">
        <v>719</v>
      </c>
      <c r="BZ760" s="32">
        <v>1200102</v>
      </c>
      <c r="CA760" s="32">
        <v>1612</v>
      </c>
    </row>
    <row r="761" spans="74:79" x14ac:dyDescent="0.25">
      <c r="BV761" s="255" t="str">
        <f t="shared" si="149"/>
        <v>F.LX.12_13T.1200102</v>
      </c>
      <c r="BW761" s="32" t="s">
        <v>114</v>
      </c>
      <c r="BX761" s="32" t="s">
        <v>391</v>
      </c>
      <c r="BY761" s="32" t="s">
        <v>717</v>
      </c>
      <c r="BZ761" s="32">
        <v>1200102</v>
      </c>
      <c r="CA761" s="32">
        <v>1486</v>
      </c>
    </row>
    <row r="762" spans="74:79" x14ac:dyDescent="0.25">
      <c r="BV762" s="255" t="str">
        <f t="shared" si="149"/>
        <v>F.LX.12_14T.1200102</v>
      </c>
      <c r="BW762" s="32" t="s">
        <v>114</v>
      </c>
      <c r="BX762" s="32" t="s">
        <v>391</v>
      </c>
      <c r="BY762" s="32" t="s">
        <v>720</v>
      </c>
      <c r="BZ762" s="32">
        <v>1200102</v>
      </c>
      <c r="CA762" s="32">
        <v>1612</v>
      </c>
    </row>
    <row r="763" spans="74:79" x14ac:dyDescent="0.25">
      <c r="BV763" s="255" t="str">
        <f t="shared" si="149"/>
        <v>F.LX.12_15T.1200102</v>
      </c>
      <c r="BW763" s="32" t="s">
        <v>114</v>
      </c>
      <c r="BX763" s="32" t="s">
        <v>391</v>
      </c>
      <c r="BY763" s="32" t="s">
        <v>723</v>
      </c>
      <c r="BZ763" s="32">
        <v>1200102</v>
      </c>
      <c r="CA763" s="32">
        <v>1675</v>
      </c>
    </row>
    <row r="764" spans="74:79" x14ac:dyDescent="0.25">
      <c r="BV764" s="255" t="str">
        <f t="shared" si="149"/>
        <v>F.LX.13_14T.1200102</v>
      </c>
      <c r="BW764" s="32" t="s">
        <v>114</v>
      </c>
      <c r="BX764" s="32" t="s">
        <v>391</v>
      </c>
      <c r="BY764" s="32" t="s">
        <v>721</v>
      </c>
      <c r="BZ764" s="32">
        <v>1200102</v>
      </c>
      <c r="CA764" s="32">
        <v>1612</v>
      </c>
    </row>
    <row r="765" spans="74:79" x14ac:dyDescent="0.25">
      <c r="BV765" s="255" t="str">
        <f t="shared" si="149"/>
        <v>F.LX.13_15T.1200102</v>
      </c>
      <c r="BW765" s="32" t="s">
        <v>114</v>
      </c>
      <c r="BX765" s="32" t="s">
        <v>391</v>
      </c>
      <c r="BY765" s="32" t="s">
        <v>724</v>
      </c>
      <c r="BZ765" s="32">
        <v>1200102</v>
      </c>
      <c r="CA765" s="32">
        <v>1675</v>
      </c>
    </row>
    <row r="766" spans="74:79" x14ac:dyDescent="0.25">
      <c r="BV766" s="255" t="str">
        <f t="shared" si="149"/>
        <v>F.LX.13_16T.1200102</v>
      </c>
      <c r="BW766" s="32" t="s">
        <v>114</v>
      </c>
      <c r="BX766" s="32" t="s">
        <v>391</v>
      </c>
      <c r="BY766" s="32" t="s">
        <v>726</v>
      </c>
      <c r="BZ766" s="32">
        <v>1200102</v>
      </c>
      <c r="CA766" s="32">
        <v>1754</v>
      </c>
    </row>
    <row r="767" spans="74:79" x14ac:dyDescent="0.25">
      <c r="BV767" s="255" t="str">
        <f t="shared" si="149"/>
        <v>F.LX.14_14T.1200102</v>
      </c>
      <c r="BW767" s="32" t="s">
        <v>114</v>
      </c>
      <c r="BX767" s="32" t="s">
        <v>391</v>
      </c>
      <c r="BY767" s="32" t="s">
        <v>722</v>
      </c>
      <c r="BZ767" s="32">
        <v>1200102</v>
      </c>
      <c r="CA767" s="32">
        <v>1612</v>
      </c>
    </row>
    <row r="768" spans="74:79" x14ac:dyDescent="0.25">
      <c r="BV768" s="255" t="str">
        <f t="shared" si="149"/>
        <v>F.LX.14_15T.1200102</v>
      </c>
      <c r="BW768" s="32" t="s">
        <v>114</v>
      </c>
      <c r="BX768" s="32" t="s">
        <v>391</v>
      </c>
      <c r="BY768" s="32" t="s">
        <v>725</v>
      </c>
      <c r="BZ768" s="32">
        <v>1200102</v>
      </c>
      <c r="CA768" s="32">
        <v>1675</v>
      </c>
    </row>
    <row r="769" spans="74:79" x14ac:dyDescent="0.25">
      <c r="BV769" s="255" t="str">
        <f t="shared" si="149"/>
        <v>F.LX.14_16T.1200102</v>
      </c>
      <c r="BW769" s="32" t="s">
        <v>114</v>
      </c>
      <c r="BX769" s="32" t="s">
        <v>391</v>
      </c>
      <c r="BY769" s="32" t="s">
        <v>727</v>
      </c>
      <c r="BZ769" s="32">
        <v>1200102</v>
      </c>
      <c r="CA769" s="32">
        <v>1754</v>
      </c>
    </row>
    <row r="770" spans="74:79" x14ac:dyDescent="0.25">
      <c r="BV770" s="255" t="str">
        <f t="shared" si="149"/>
        <v>F.LX.15_16T.1200102</v>
      </c>
      <c r="BW770" s="32" t="s">
        <v>114</v>
      </c>
      <c r="BX770" s="32" t="s">
        <v>391</v>
      </c>
      <c r="BY770" s="32" t="s">
        <v>728</v>
      </c>
      <c r="BZ770" s="32">
        <v>1200102</v>
      </c>
      <c r="CA770" s="32">
        <v>1754</v>
      </c>
    </row>
    <row r="771" spans="74:79" x14ac:dyDescent="0.25">
      <c r="BV771" s="255" t="str">
        <f t="shared" si="149"/>
        <v>F.LX.16_16T.1200102</v>
      </c>
      <c r="BW771" s="32" t="s">
        <v>114</v>
      </c>
      <c r="BX771" s="32" t="s">
        <v>391</v>
      </c>
      <c r="BY771" s="32" t="s">
        <v>729</v>
      </c>
      <c r="BZ771" s="32">
        <v>1200102</v>
      </c>
      <c r="CA771" s="32">
        <v>1754</v>
      </c>
    </row>
    <row r="772" spans="74:79" x14ac:dyDescent="0.25">
      <c r="BV772" s="255" t="str">
        <f t="shared" si="149"/>
        <v>F.LX.7_10T.1200102</v>
      </c>
      <c r="BW772" s="32" t="s">
        <v>114</v>
      </c>
      <c r="BX772" s="32" t="s">
        <v>391</v>
      </c>
      <c r="BY772" s="32" t="s">
        <v>668</v>
      </c>
      <c r="BZ772" s="32">
        <v>1200102</v>
      </c>
      <c r="CA772" s="32">
        <v>1591</v>
      </c>
    </row>
    <row r="773" spans="74:79" x14ac:dyDescent="0.25">
      <c r="BV773" s="255" t="str">
        <f t="shared" si="149"/>
        <v>F.LX.7H_10T.1200102</v>
      </c>
      <c r="BW773" s="32" t="s">
        <v>114</v>
      </c>
      <c r="BX773" s="32" t="s">
        <v>391</v>
      </c>
      <c r="BY773" s="32" t="s">
        <v>674</v>
      </c>
      <c r="BZ773" s="32">
        <v>1200102</v>
      </c>
      <c r="CA773" s="32">
        <v>1591</v>
      </c>
    </row>
    <row r="774" spans="74:79" x14ac:dyDescent="0.25">
      <c r="BV774" s="255" t="str">
        <f t="shared" si="149"/>
        <v>F.LX.8_10T.1200102</v>
      </c>
      <c r="BW774" s="32" t="s">
        <v>114</v>
      </c>
      <c r="BX774" s="32" t="s">
        <v>391</v>
      </c>
      <c r="BY774" s="32" t="s">
        <v>669</v>
      </c>
      <c r="BZ774" s="32">
        <v>1200102</v>
      </c>
      <c r="CA774" s="32">
        <v>1591</v>
      </c>
    </row>
    <row r="775" spans="74:79" x14ac:dyDescent="0.25">
      <c r="BV775" s="255" t="str">
        <f t="shared" si="149"/>
        <v>F.LX.8_12T.1200102</v>
      </c>
      <c r="BW775" s="32" t="s">
        <v>114</v>
      </c>
      <c r="BX775" s="32" t="s">
        <v>391</v>
      </c>
      <c r="BY775" s="32" t="s">
        <v>671</v>
      </c>
      <c r="BZ775" s="32">
        <v>1200102</v>
      </c>
      <c r="CA775" s="32">
        <v>1475</v>
      </c>
    </row>
    <row r="776" spans="74:79" x14ac:dyDescent="0.25">
      <c r="BV776" s="255" t="str">
        <f t="shared" si="149"/>
        <v>F.LX.9_10T.1200102</v>
      </c>
      <c r="BW776" s="32" t="s">
        <v>114</v>
      </c>
      <c r="BX776" s="32" t="s">
        <v>391</v>
      </c>
      <c r="BY776" s="32" t="s">
        <v>670</v>
      </c>
      <c r="BZ776" s="32">
        <v>1200102</v>
      </c>
      <c r="CA776" s="32">
        <v>1591</v>
      </c>
    </row>
    <row r="777" spans="74:79" x14ac:dyDescent="0.25">
      <c r="BV777" s="255" t="str">
        <f t="shared" si="149"/>
        <v>F.LX.9_12T.1200102</v>
      </c>
      <c r="BW777" s="32" t="s">
        <v>114</v>
      </c>
      <c r="BX777" s="32" t="s">
        <v>391</v>
      </c>
      <c r="BY777" s="32" t="s">
        <v>672</v>
      </c>
      <c r="BZ777" s="32">
        <v>1200102</v>
      </c>
      <c r="CA777" s="32">
        <v>1475</v>
      </c>
    </row>
    <row r="778" spans="74:79" x14ac:dyDescent="0.25">
      <c r="BV778" s="255" t="str">
        <f t="shared" si="149"/>
        <v>F.LX.9_13T.1200102</v>
      </c>
      <c r="BW778" s="32" t="s">
        <v>114</v>
      </c>
      <c r="BX778" s="32" t="s">
        <v>391</v>
      </c>
      <c r="BY778" s="32" t="s">
        <v>673</v>
      </c>
      <c r="BZ778" s="32">
        <v>1200102</v>
      </c>
      <c r="CA778" s="32">
        <v>1486</v>
      </c>
    </row>
    <row r="779" spans="74:79" x14ac:dyDescent="0.25">
      <c r="BV779" s="255" t="str">
        <f t="shared" si="149"/>
        <v>F.LX.9_14T.1200102</v>
      </c>
      <c r="BW779" s="32" t="s">
        <v>114</v>
      </c>
      <c r="BX779" s="32" t="s">
        <v>391</v>
      </c>
      <c r="BY779" s="32" t="s">
        <v>737</v>
      </c>
      <c r="BZ779" s="32">
        <v>1200102</v>
      </c>
      <c r="CA779" s="32">
        <v>1612</v>
      </c>
    </row>
    <row r="780" spans="74:79" x14ac:dyDescent="0.25">
      <c r="BV780" s="255" t="str">
        <f t="shared" si="149"/>
        <v>D.L8.12_18B.1210401</v>
      </c>
      <c r="BW780" s="32" t="s">
        <v>502</v>
      </c>
      <c r="BX780" s="32" t="s">
        <v>730</v>
      </c>
      <c r="BY780" s="32" t="s">
        <v>683</v>
      </c>
      <c r="BZ780" s="32">
        <v>1210401</v>
      </c>
      <c r="CA780" s="354">
        <v>1762</v>
      </c>
    </row>
    <row r="781" spans="74:79" x14ac:dyDescent="0.25">
      <c r="BV781" s="255" t="str">
        <f t="shared" si="149"/>
        <v>D.L8.12_20B.1210401</v>
      </c>
      <c r="BW781" s="32" t="s">
        <v>502</v>
      </c>
      <c r="BX781" s="32" t="s">
        <v>730</v>
      </c>
      <c r="BY781" s="32" t="s">
        <v>686</v>
      </c>
      <c r="BZ781" s="32">
        <v>1210401</v>
      </c>
      <c r="CA781" s="354">
        <v>1813</v>
      </c>
    </row>
    <row r="782" spans="74:79" x14ac:dyDescent="0.25">
      <c r="BV782" s="255" t="str">
        <f t="shared" si="149"/>
        <v>D.L8.12_22B.1210401</v>
      </c>
      <c r="BW782" s="32" t="s">
        <v>502</v>
      </c>
      <c r="BX782" s="32" t="s">
        <v>730</v>
      </c>
      <c r="BY782" s="32" t="s">
        <v>690</v>
      </c>
      <c r="BZ782" s="32">
        <v>1210401</v>
      </c>
      <c r="CA782" s="354">
        <v>1901</v>
      </c>
    </row>
    <row r="783" spans="74:79" x14ac:dyDescent="0.25">
      <c r="BV783" s="255" t="str">
        <f t="shared" si="149"/>
        <v>D.L8.12_24B.1210401</v>
      </c>
      <c r="BW783" s="32" t="s">
        <v>502</v>
      </c>
      <c r="BX783" s="32" t="s">
        <v>730</v>
      </c>
      <c r="BY783" s="32" t="s">
        <v>695</v>
      </c>
      <c r="BZ783" s="32">
        <v>1210401</v>
      </c>
      <c r="CA783" s="354">
        <v>1973</v>
      </c>
    </row>
    <row r="784" spans="74:79" x14ac:dyDescent="0.25">
      <c r="BV784" s="255" t="str">
        <f t="shared" si="149"/>
        <v>D.L8.12_26B.1210401</v>
      </c>
      <c r="BW784" s="32" t="s">
        <v>502</v>
      </c>
      <c r="BX784" s="32" t="s">
        <v>730</v>
      </c>
      <c r="BY784" s="32" t="s">
        <v>700</v>
      </c>
      <c r="BZ784" s="32">
        <v>1210401</v>
      </c>
      <c r="CA784" s="354">
        <v>1990</v>
      </c>
    </row>
    <row r="785" spans="74:79" x14ac:dyDescent="0.25">
      <c r="BV785" s="255" t="str">
        <f t="shared" si="149"/>
        <v>D.L8.14_18B.1210401</v>
      </c>
      <c r="BW785" s="32" t="s">
        <v>502</v>
      </c>
      <c r="BX785" s="32" t="s">
        <v>730</v>
      </c>
      <c r="BY785" s="32" t="s">
        <v>684</v>
      </c>
      <c r="BZ785" s="32">
        <v>1210401</v>
      </c>
      <c r="CA785" s="354">
        <v>1762</v>
      </c>
    </row>
    <row r="786" spans="74:79" x14ac:dyDescent="0.25">
      <c r="BV786" s="255" t="str">
        <f t="shared" si="149"/>
        <v>D.L8.14_20B.1210401</v>
      </c>
      <c r="BW786" s="32" t="s">
        <v>502</v>
      </c>
      <c r="BX786" s="32" t="s">
        <v>730</v>
      </c>
      <c r="BY786" s="32" t="s">
        <v>687</v>
      </c>
      <c r="BZ786" s="32">
        <v>1210401</v>
      </c>
      <c r="CA786" s="354">
        <v>1813</v>
      </c>
    </row>
    <row r="787" spans="74:79" x14ac:dyDescent="0.25">
      <c r="BV787" s="255" t="str">
        <f t="shared" si="149"/>
        <v>D.L8.14_22B.1210401</v>
      </c>
      <c r="BW787" s="32" t="s">
        <v>502</v>
      </c>
      <c r="BX787" s="32" t="s">
        <v>730</v>
      </c>
      <c r="BY787" s="32" t="s">
        <v>691</v>
      </c>
      <c r="BZ787" s="32">
        <v>1210401</v>
      </c>
      <c r="CA787" s="354">
        <v>1901</v>
      </c>
    </row>
    <row r="788" spans="74:79" x14ac:dyDescent="0.25">
      <c r="BV788" s="255" t="str">
        <f t="shared" si="149"/>
        <v>D.L8.14_24B.1210401</v>
      </c>
      <c r="BW788" s="32" t="s">
        <v>502</v>
      </c>
      <c r="BX788" s="32" t="s">
        <v>730</v>
      </c>
      <c r="BY788" s="32" t="s">
        <v>696</v>
      </c>
      <c r="BZ788" s="32">
        <v>1210401</v>
      </c>
      <c r="CA788" s="354">
        <v>1973</v>
      </c>
    </row>
    <row r="789" spans="74:79" x14ac:dyDescent="0.25">
      <c r="BV789" s="255" t="str">
        <f t="shared" si="149"/>
        <v>D.L8.14_26B.1210401</v>
      </c>
      <c r="BW789" s="32" t="s">
        <v>502</v>
      </c>
      <c r="BX789" s="32" t="s">
        <v>730</v>
      </c>
      <c r="BY789" s="32" t="s">
        <v>701</v>
      </c>
      <c r="BZ789" s="32">
        <v>1210401</v>
      </c>
      <c r="CA789" s="354">
        <v>1990</v>
      </c>
    </row>
    <row r="790" spans="74:79" x14ac:dyDescent="0.25">
      <c r="BV790" s="255" t="str">
        <f t="shared" ref="BV790:BV853" si="150">CONCATENATE(BW790,".",BX790,".",BY790,".",BZ790)</f>
        <v>D.L8.16_18B.1210401</v>
      </c>
      <c r="BW790" s="32" t="s">
        <v>502</v>
      </c>
      <c r="BX790" s="32" t="s">
        <v>730</v>
      </c>
      <c r="BY790" s="32" t="s">
        <v>685</v>
      </c>
      <c r="BZ790" s="32">
        <v>1210401</v>
      </c>
      <c r="CA790" s="354">
        <v>1762</v>
      </c>
    </row>
    <row r="791" spans="74:79" x14ac:dyDescent="0.25">
      <c r="BV791" s="255" t="str">
        <f t="shared" si="150"/>
        <v>D.L8.16_20B.1210401</v>
      </c>
      <c r="BW791" s="32" t="s">
        <v>502</v>
      </c>
      <c r="BX791" s="32" t="s">
        <v>730</v>
      </c>
      <c r="BY791" s="32" t="s">
        <v>688</v>
      </c>
      <c r="BZ791" s="32">
        <v>1210401</v>
      </c>
      <c r="CA791" s="354">
        <v>1813</v>
      </c>
    </row>
    <row r="792" spans="74:79" x14ac:dyDescent="0.25">
      <c r="BV792" s="255" t="str">
        <f t="shared" si="150"/>
        <v>D.L8.16_22B.1210401</v>
      </c>
      <c r="BW792" s="32" t="s">
        <v>502</v>
      </c>
      <c r="BX792" s="32" t="s">
        <v>730</v>
      </c>
      <c r="BY792" s="32" t="s">
        <v>692</v>
      </c>
      <c r="BZ792" s="32">
        <v>1210401</v>
      </c>
      <c r="CA792" s="354">
        <v>1901</v>
      </c>
    </row>
    <row r="793" spans="74:79" x14ac:dyDescent="0.25">
      <c r="BV793" s="255" t="str">
        <f t="shared" si="150"/>
        <v>D.L8.16_24B.1210401</v>
      </c>
      <c r="BW793" s="32" t="s">
        <v>502</v>
      </c>
      <c r="BX793" s="32" t="s">
        <v>730</v>
      </c>
      <c r="BY793" s="32" t="s">
        <v>697</v>
      </c>
      <c r="BZ793" s="32">
        <v>1210401</v>
      </c>
      <c r="CA793" s="354">
        <v>1973</v>
      </c>
    </row>
    <row r="794" spans="74:79" x14ac:dyDescent="0.25">
      <c r="BV794" s="255" t="str">
        <f t="shared" si="150"/>
        <v>D.L8.16_26B.1210401</v>
      </c>
      <c r="BW794" s="32" t="s">
        <v>502</v>
      </c>
      <c r="BX794" s="32" t="s">
        <v>730</v>
      </c>
      <c r="BY794" s="32" t="s">
        <v>702</v>
      </c>
      <c r="BZ794" s="32">
        <v>1210401</v>
      </c>
      <c r="CA794" s="354">
        <v>1990</v>
      </c>
    </row>
    <row r="795" spans="74:79" x14ac:dyDescent="0.25">
      <c r="BV795" s="255" t="str">
        <f t="shared" si="150"/>
        <v>D.L8.18_20B.1210401</v>
      </c>
      <c r="BW795" s="32" t="s">
        <v>502</v>
      </c>
      <c r="BX795" s="32" t="s">
        <v>730</v>
      </c>
      <c r="BY795" s="32" t="s">
        <v>689</v>
      </c>
      <c r="BZ795" s="32">
        <v>1210401</v>
      </c>
      <c r="CA795" s="354">
        <v>1873</v>
      </c>
    </row>
    <row r="796" spans="74:79" x14ac:dyDescent="0.25">
      <c r="BV796" s="255" t="str">
        <f t="shared" si="150"/>
        <v>D.L8.18_22B.1210401</v>
      </c>
      <c r="BW796" s="32" t="s">
        <v>502</v>
      </c>
      <c r="BX796" s="32" t="s">
        <v>730</v>
      </c>
      <c r="BY796" s="32" t="s">
        <v>693</v>
      </c>
      <c r="BZ796" s="32">
        <v>1210401</v>
      </c>
      <c r="CA796" s="354">
        <v>1901</v>
      </c>
    </row>
    <row r="797" spans="74:79" x14ac:dyDescent="0.25">
      <c r="BV797" s="255" t="str">
        <f t="shared" si="150"/>
        <v>D.L8.18_24B.1210401</v>
      </c>
      <c r="BW797" s="32" t="s">
        <v>502</v>
      </c>
      <c r="BX797" s="32" t="s">
        <v>730</v>
      </c>
      <c r="BY797" s="32" t="s">
        <v>698</v>
      </c>
      <c r="BZ797" s="32">
        <v>1210401</v>
      </c>
      <c r="CA797" s="354">
        <v>1973</v>
      </c>
    </row>
    <row r="798" spans="74:79" x14ac:dyDescent="0.25">
      <c r="BV798" s="255" t="str">
        <f t="shared" si="150"/>
        <v>D.L8.20_22B.1210401</v>
      </c>
      <c r="BW798" s="32" t="s">
        <v>502</v>
      </c>
      <c r="BX798" s="32" t="s">
        <v>730</v>
      </c>
      <c r="BY798" s="32" t="s">
        <v>694</v>
      </c>
      <c r="BZ798" s="32">
        <v>1210401</v>
      </c>
      <c r="CA798" s="354">
        <v>1901</v>
      </c>
    </row>
    <row r="799" spans="74:79" x14ac:dyDescent="0.25">
      <c r="BV799" s="255" t="str">
        <f t="shared" si="150"/>
        <v>D.L8.20_24B.1210401</v>
      </c>
      <c r="BW799" s="32" t="s">
        <v>502</v>
      </c>
      <c r="BX799" s="32" t="s">
        <v>730</v>
      </c>
      <c r="BY799" s="32" t="s">
        <v>699</v>
      </c>
      <c r="BZ799" s="32">
        <v>1210401</v>
      </c>
      <c r="CA799" s="354">
        <v>2090</v>
      </c>
    </row>
    <row r="800" spans="74:79" x14ac:dyDescent="0.25">
      <c r="BV800" s="255" t="str">
        <f t="shared" si="150"/>
        <v>D.L8.12_14F.1210401</v>
      </c>
      <c r="BW800" s="32" t="s">
        <v>502</v>
      </c>
      <c r="BX800" s="32" t="s">
        <v>730</v>
      </c>
      <c r="BY800" s="32" t="s">
        <v>703</v>
      </c>
      <c r="BZ800" s="32">
        <v>1210401</v>
      </c>
      <c r="CA800" s="354">
        <v>1075</v>
      </c>
    </row>
    <row r="801" spans="74:79" x14ac:dyDescent="0.25">
      <c r="BV801" s="255" t="str">
        <f t="shared" si="150"/>
        <v>D.L8.13_14F.1210401</v>
      </c>
      <c r="BW801" s="32" t="s">
        <v>502</v>
      </c>
      <c r="BX801" s="32" t="s">
        <v>730</v>
      </c>
      <c r="BY801" s="32" t="s">
        <v>704</v>
      </c>
      <c r="BZ801" s="32">
        <v>1210401</v>
      </c>
      <c r="CA801" s="354">
        <v>1075</v>
      </c>
    </row>
    <row r="802" spans="74:79" x14ac:dyDescent="0.25">
      <c r="BV802" s="255" t="str">
        <f t="shared" si="150"/>
        <v>D.L8.13_15F.1210401</v>
      </c>
      <c r="BW802" s="32" t="s">
        <v>502</v>
      </c>
      <c r="BX802" s="32" t="s">
        <v>730</v>
      </c>
      <c r="BY802" s="32" t="s">
        <v>706</v>
      </c>
      <c r="BZ802" s="32">
        <v>1210401</v>
      </c>
      <c r="CA802" s="354">
        <v>1111</v>
      </c>
    </row>
    <row r="803" spans="74:79" x14ac:dyDescent="0.25">
      <c r="BV803" s="255" t="str">
        <f t="shared" si="150"/>
        <v>D.L8.13_16F.1210401</v>
      </c>
      <c r="BW803" s="32" t="s">
        <v>502</v>
      </c>
      <c r="BX803" s="32" t="s">
        <v>730</v>
      </c>
      <c r="BY803" s="32" t="s">
        <v>708</v>
      </c>
      <c r="BZ803" s="32">
        <v>1210401</v>
      </c>
      <c r="CA803" s="354">
        <v>1111</v>
      </c>
    </row>
    <row r="804" spans="74:79" x14ac:dyDescent="0.25">
      <c r="BV804" s="255" t="str">
        <f t="shared" si="150"/>
        <v>D.L8.14_14F.1210401</v>
      </c>
      <c r="BW804" s="32" t="s">
        <v>502</v>
      </c>
      <c r="BX804" s="32" t="s">
        <v>730</v>
      </c>
      <c r="BY804" s="32" t="s">
        <v>705</v>
      </c>
      <c r="BZ804" s="32">
        <v>1210401</v>
      </c>
      <c r="CA804" s="354">
        <v>1075</v>
      </c>
    </row>
    <row r="805" spans="74:79" x14ac:dyDescent="0.25">
      <c r="BV805" s="255" t="str">
        <f t="shared" si="150"/>
        <v>D.L8.14_15F.1210401</v>
      </c>
      <c r="BW805" s="32" t="s">
        <v>502</v>
      </c>
      <c r="BX805" s="32" t="s">
        <v>730</v>
      </c>
      <c r="BY805" s="32" t="s">
        <v>707</v>
      </c>
      <c r="BZ805" s="32">
        <v>1210401</v>
      </c>
      <c r="CA805" s="354">
        <v>1111</v>
      </c>
    </row>
    <row r="806" spans="74:79" x14ac:dyDescent="0.25">
      <c r="BV806" s="255" t="str">
        <f t="shared" si="150"/>
        <v>D.L8.14_16F.1210401</v>
      </c>
      <c r="BW806" s="32" t="s">
        <v>502</v>
      </c>
      <c r="BX806" s="32" t="s">
        <v>730</v>
      </c>
      <c r="BY806" s="32" t="s">
        <v>709</v>
      </c>
      <c r="BZ806" s="32">
        <v>1210401</v>
      </c>
      <c r="CA806" s="354">
        <v>1111</v>
      </c>
    </row>
    <row r="807" spans="74:79" x14ac:dyDescent="0.25">
      <c r="BV807" s="255" t="str">
        <f t="shared" si="150"/>
        <v>D.L8.15_16F.1210401</v>
      </c>
      <c r="BW807" s="32" t="s">
        <v>502</v>
      </c>
      <c r="BX807" s="32" t="s">
        <v>730</v>
      </c>
      <c r="BY807" s="32" t="s">
        <v>710</v>
      </c>
      <c r="BZ807" s="32">
        <v>1210401</v>
      </c>
      <c r="CA807" s="354">
        <v>1111</v>
      </c>
    </row>
    <row r="808" spans="74:79" x14ac:dyDescent="0.25">
      <c r="BV808" s="255" t="str">
        <f t="shared" si="150"/>
        <v>D.L8.16_16F.1210401</v>
      </c>
      <c r="BW808" s="32" t="s">
        <v>502</v>
      </c>
      <c r="BX808" s="32" t="s">
        <v>730</v>
      </c>
      <c r="BY808" s="32" t="s">
        <v>711</v>
      </c>
      <c r="BZ808" s="32">
        <v>1210401</v>
      </c>
      <c r="CA808" s="354">
        <v>1111</v>
      </c>
    </row>
    <row r="809" spans="74:79" x14ac:dyDescent="0.25">
      <c r="BV809" s="255" t="str">
        <f t="shared" si="150"/>
        <v>D.L8.16_18F.1210401</v>
      </c>
      <c r="BW809" s="32" t="s">
        <v>502</v>
      </c>
      <c r="BX809" s="32" t="s">
        <v>730</v>
      </c>
      <c r="BY809" s="32" t="s">
        <v>712</v>
      </c>
      <c r="BZ809" s="32">
        <v>1210401</v>
      </c>
      <c r="CA809" s="354">
        <v>1287</v>
      </c>
    </row>
    <row r="810" spans="74:79" x14ac:dyDescent="0.25">
      <c r="BV810" s="255" t="str">
        <f t="shared" si="150"/>
        <v>D.L8.10_14S.1210401</v>
      </c>
      <c r="BW810" s="32" t="s">
        <v>502</v>
      </c>
      <c r="BX810" s="32" t="s">
        <v>730</v>
      </c>
      <c r="BY810" s="32" t="s">
        <v>733</v>
      </c>
      <c r="BZ810" s="32">
        <v>1210401</v>
      </c>
      <c r="CA810" s="354">
        <v>890</v>
      </c>
    </row>
    <row r="811" spans="74:79" x14ac:dyDescent="0.25">
      <c r="BV811" s="255" t="str">
        <f t="shared" si="150"/>
        <v>D.L8.3H_13S.1210401</v>
      </c>
      <c r="BW811" s="32" t="s">
        <v>502</v>
      </c>
      <c r="BX811" s="32" t="s">
        <v>730</v>
      </c>
      <c r="BY811" s="32" t="s">
        <v>679</v>
      </c>
      <c r="BZ811" s="32">
        <v>1210401</v>
      </c>
      <c r="CA811" s="354">
        <v>840</v>
      </c>
    </row>
    <row r="812" spans="74:79" x14ac:dyDescent="0.25">
      <c r="BV812" s="255" t="str">
        <f t="shared" si="150"/>
        <v>D.L8.4_14S.1210401</v>
      </c>
      <c r="BW812" s="32" t="s">
        <v>502</v>
      </c>
      <c r="BX812" s="32" t="s">
        <v>730</v>
      </c>
      <c r="BY812" s="32" t="s">
        <v>739</v>
      </c>
      <c r="BZ812" s="32">
        <v>1210401</v>
      </c>
      <c r="CA812" s="354">
        <v>870</v>
      </c>
    </row>
    <row r="813" spans="74:79" x14ac:dyDescent="0.25">
      <c r="BV813" s="255" t="str">
        <f t="shared" si="150"/>
        <v>D.L8.4_14x8S.1210401</v>
      </c>
      <c r="BW813" s="32" t="s">
        <v>502</v>
      </c>
      <c r="BX813" s="32" t="s">
        <v>730</v>
      </c>
      <c r="BY813" s="32" t="s">
        <v>740</v>
      </c>
      <c r="BZ813" s="32">
        <v>1210401</v>
      </c>
      <c r="CA813" s="354">
        <v>860</v>
      </c>
    </row>
    <row r="814" spans="74:79" x14ac:dyDescent="0.25">
      <c r="BV814" s="255" t="str">
        <f t="shared" si="150"/>
        <v>D.L8.5_14S.1210401</v>
      </c>
      <c r="BW814" s="32" t="s">
        <v>502</v>
      </c>
      <c r="BX814" s="32" t="s">
        <v>730</v>
      </c>
      <c r="BY814" s="32" t="s">
        <v>677</v>
      </c>
      <c r="BZ814" s="32">
        <v>1210401</v>
      </c>
      <c r="CA814" s="354">
        <v>870</v>
      </c>
    </row>
    <row r="815" spans="74:79" x14ac:dyDescent="0.25">
      <c r="BV815" s="255" t="str">
        <f t="shared" si="150"/>
        <v>D.L8.5_14x8S.1210401</v>
      </c>
      <c r="BW815" s="32" t="s">
        <v>502</v>
      </c>
      <c r="BX815" s="32" t="s">
        <v>730</v>
      </c>
      <c r="BY815" s="32" t="s">
        <v>681</v>
      </c>
      <c r="BZ815" s="32">
        <v>1210401</v>
      </c>
      <c r="CA815" s="354">
        <v>860</v>
      </c>
    </row>
    <row r="816" spans="74:79" x14ac:dyDescent="0.25">
      <c r="BV816" s="255" t="str">
        <f t="shared" si="150"/>
        <v>D.L8.5H_14S.1210401</v>
      </c>
      <c r="BW816" s="32" t="s">
        <v>502</v>
      </c>
      <c r="BX816" s="32" t="s">
        <v>730</v>
      </c>
      <c r="BY816" s="32" t="s">
        <v>1208</v>
      </c>
      <c r="BZ816" s="32">
        <v>1210401</v>
      </c>
      <c r="CA816" s="354">
        <v>870</v>
      </c>
    </row>
    <row r="817" spans="74:79" x14ac:dyDescent="0.25">
      <c r="BV817" s="255" t="str">
        <f t="shared" si="150"/>
        <v>D.L8.5H_14x8S.1210401</v>
      </c>
      <c r="BW817" s="32" t="s">
        <v>502</v>
      </c>
      <c r="BX817" s="32" t="s">
        <v>730</v>
      </c>
      <c r="BY817" s="32" t="s">
        <v>1209</v>
      </c>
      <c r="BZ817" s="32">
        <v>1210401</v>
      </c>
      <c r="CA817" s="354">
        <v>860</v>
      </c>
    </row>
    <row r="818" spans="74:79" x14ac:dyDescent="0.25">
      <c r="BV818" s="255" t="str">
        <f t="shared" si="150"/>
        <v>D.L8.6_12S.1210401</v>
      </c>
      <c r="BW818" s="32" t="s">
        <v>502</v>
      </c>
      <c r="BX818" s="32" t="s">
        <v>730</v>
      </c>
      <c r="BY818" s="32" t="s">
        <v>675</v>
      </c>
      <c r="BZ818" s="32">
        <v>1210401</v>
      </c>
      <c r="CA818" s="354">
        <v>916</v>
      </c>
    </row>
    <row r="819" spans="74:79" x14ac:dyDescent="0.25">
      <c r="BV819" s="255" t="str">
        <f t="shared" si="150"/>
        <v>D.L8.6_13S.1210401</v>
      </c>
      <c r="BW819" s="32" t="s">
        <v>502</v>
      </c>
      <c r="BX819" s="32" t="s">
        <v>730</v>
      </c>
      <c r="BY819" s="32" t="s">
        <v>676</v>
      </c>
      <c r="BZ819" s="32">
        <v>1210401</v>
      </c>
      <c r="CA819" s="354">
        <v>916</v>
      </c>
    </row>
    <row r="820" spans="74:79" x14ac:dyDescent="0.25">
      <c r="BV820" s="255" t="str">
        <f t="shared" si="150"/>
        <v>D.L8.6H_14S.1210401</v>
      </c>
      <c r="BW820" s="32" t="s">
        <v>502</v>
      </c>
      <c r="BX820" s="32" t="s">
        <v>730</v>
      </c>
      <c r="BY820" s="32" t="s">
        <v>680</v>
      </c>
      <c r="BZ820" s="32">
        <v>1210401</v>
      </c>
      <c r="CA820" s="354">
        <v>870</v>
      </c>
    </row>
    <row r="821" spans="74:79" x14ac:dyDescent="0.25">
      <c r="BV821" s="255" t="str">
        <f t="shared" si="150"/>
        <v>D.L8.6H_14x8S.1210401</v>
      </c>
      <c r="BW821" s="32" t="s">
        <v>502</v>
      </c>
      <c r="BX821" s="32" t="s">
        <v>730</v>
      </c>
      <c r="BY821" s="32" t="s">
        <v>682</v>
      </c>
      <c r="BZ821" s="32">
        <v>1210401</v>
      </c>
      <c r="CA821" s="354">
        <v>860</v>
      </c>
    </row>
    <row r="822" spans="74:79" x14ac:dyDescent="0.25">
      <c r="BV822" s="255" t="str">
        <f t="shared" si="150"/>
        <v>D.L8.8_14S.1210401</v>
      </c>
      <c r="BW822" s="32" t="s">
        <v>502</v>
      </c>
      <c r="BX822" s="32" t="s">
        <v>730</v>
      </c>
      <c r="BY822" s="32" t="s">
        <v>678</v>
      </c>
      <c r="BZ822" s="32">
        <v>1210401</v>
      </c>
      <c r="CA822" s="354">
        <v>880</v>
      </c>
    </row>
    <row r="823" spans="74:79" x14ac:dyDescent="0.25">
      <c r="BV823" s="255" t="str">
        <f t="shared" si="150"/>
        <v>D.L8.10_12T.1210401</v>
      </c>
      <c r="BW823" s="32" t="s">
        <v>502</v>
      </c>
      <c r="BX823" s="32" t="s">
        <v>730</v>
      </c>
      <c r="BY823" s="32" t="s">
        <v>713</v>
      </c>
      <c r="BZ823" s="32">
        <v>1210401</v>
      </c>
      <c r="CA823" s="354">
        <v>798</v>
      </c>
    </row>
    <row r="824" spans="74:79" x14ac:dyDescent="0.25">
      <c r="BV824" s="255" t="str">
        <f t="shared" si="150"/>
        <v>D.L8.10_13T.1210401</v>
      </c>
      <c r="BW824" s="32" t="s">
        <v>502</v>
      </c>
      <c r="BX824" s="32" t="s">
        <v>730</v>
      </c>
      <c r="BY824" s="32" t="s">
        <v>715</v>
      </c>
      <c r="BZ824" s="32">
        <v>1210401</v>
      </c>
      <c r="CA824" s="354">
        <v>869</v>
      </c>
    </row>
    <row r="825" spans="74:79" x14ac:dyDescent="0.25">
      <c r="BV825" s="255" t="str">
        <f t="shared" si="150"/>
        <v>D.L8.10_14T.1210401</v>
      </c>
      <c r="BW825" s="32" t="s">
        <v>502</v>
      </c>
      <c r="BX825" s="32" t="s">
        <v>730</v>
      </c>
      <c r="BY825" s="32" t="s">
        <v>718</v>
      </c>
      <c r="BZ825" s="32">
        <v>1210401</v>
      </c>
      <c r="CA825" s="354">
        <v>976</v>
      </c>
    </row>
    <row r="826" spans="74:79" x14ac:dyDescent="0.25">
      <c r="BV826" s="255" t="str">
        <f t="shared" si="150"/>
        <v>D.L8.11_12T.1210401</v>
      </c>
      <c r="BW826" s="32" t="s">
        <v>502</v>
      </c>
      <c r="BX826" s="32" t="s">
        <v>730</v>
      </c>
      <c r="BY826" s="32" t="s">
        <v>714</v>
      </c>
      <c r="BZ826" s="32">
        <v>1210401</v>
      </c>
      <c r="CA826" s="354">
        <v>798</v>
      </c>
    </row>
    <row r="827" spans="74:79" x14ac:dyDescent="0.25">
      <c r="BV827" s="255" t="str">
        <f t="shared" si="150"/>
        <v>D.L8.11_13T.1210401</v>
      </c>
      <c r="BW827" s="32" t="s">
        <v>502</v>
      </c>
      <c r="BX827" s="32" t="s">
        <v>730</v>
      </c>
      <c r="BY827" s="32" t="s">
        <v>716</v>
      </c>
      <c r="BZ827" s="32">
        <v>1210401</v>
      </c>
      <c r="CA827" s="354">
        <v>869</v>
      </c>
    </row>
    <row r="828" spans="74:79" x14ac:dyDescent="0.25">
      <c r="BV828" s="255" t="str">
        <f t="shared" si="150"/>
        <v>D.L8.11_14T.1210401</v>
      </c>
      <c r="BW828" s="32" t="s">
        <v>502</v>
      </c>
      <c r="BX828" s="32" t="s">
        <v>730</v>
      </c>
      <c r="BY828" s="32" t="s">
        <v>719</v>
      </c>
      <c r="BZ828" s="32">
        <v>1210401</v>
      </c>
      <c r="CA828" s="354">
        <v>976</v>
      </c>
    </row>
    <row r="829" spans="74:79" x14ac:dyDescent="0.25">
      <c r="BV829" s="255" t="str">
        <f t="shared" si="150"/>
        <v>D.L8.12_13T.1210401</v>
      </c>
      <c r="BW829" s="32" t="s">
        <v>502</v>
      </c>
      <c r="BX829" s="32" t="s">
        <v>730</v>
      </c>
      <c r="BY829" s="32" t="s">
        <v>717</v>
      </c>
      <c r="BZ829" s="32">
        <v>1210401</v>
      </c>
      <c r="CA829" s="354">
        <v>869</v>
      </c>
    </row>
    <row r="830" spans="74:79" x14ac:dyDescent="0.25">
      <c r="BV830" s="255" t="str">
        <f t="shared" si="150"/>
        <v>D.L8.12_14T.1210401</v>
      </c>
      <c r="BW830" s="32" t="s">
        <v>502</v>
      </c>
      <c r="BX830" s="32" t="s">
        <v>730</v>
      </c>
      <c r="BY830" s="32" t="s">
        <v>720</v>
      </c>
      <c r="BZ830" s="32">
        <v>1210401</v>
      </c>
      <c r="CA830" s="354">
        <v>976</v>
      </c>
    </row>
    <row r="831" spans="74:79" x14ac:dyDescent="0.25">
      <c r="BV831" s="255" t="str">
        <f t="shared" si="150"/>
        <v>D.L8.12_15T.1210401</v>
      </c>
      <c r="BW831" s="32" t="s">
        <v>502</v>
      </c>
      <c r="BX831" s="32" t="s">
        <v>730</v>
      </c>
      <c r="BY831" s="32" t="s">
        <v>723</v>
      </c>
      <c r="BZ831" s="32">
        <v>1210401</v>
      </c>
      <c r="CA831" s="354">
        <v>1088</v>
      </c>
    </row>
    <row r="832" spans="74:79" x14ac:dyDescent="0.25">
      <c r="BV832" s="255" t="str">
        <f t="shared" si="150"/>
        <v>D.L8.13_14T.1210401</v>
      </c>
      <c r="BW832" s="32" t="s">
        <v>502</v>
      </c>
      <c r="BX832" s="32" t="s">
        <v>730</v>
      </c>
      <c r="BY832" s="32" t="s">
        <v>721</v>
      </c>
      <c r="BZ832" s="32">
        <v>1210401</v>
      </c>
      <c r="CA832" s="354">
        <v>976</v>
      </c>
    </row>
    <row r="833" spans="74:79" x14ac:dyDescent="0.25">
      <c r="BV833" s="255" t="str">
        <f t="shared" si="150"/>
        <v>D.L8.13_15T.1210401</v>
      </c>
      <c r="BW833" s="32" t="s">
        <v>502</v>
      </c>
      <c r="BX833" s="32" t="s">
        <v>730</v>
      </c>
      <c r="BY833" s="32" t="s">
        <v>724</v>
      </c>
      <c r="BZ833" s="32">
        <v>1210401</v>
      </c>
      <c r="CA833" s="354">
        <v>1088</v>
      </c>
    </row>
    <row r="834" spans="74:79" x14ac:dyDescent="0.25">
      <c r="BV834" s="255" t="str">
        <f t="shared" si="150"/>
        <v>D.L8.13_16T.1210401</v>
      </c>
      <c r="BW834" s="32" t="s">
        <v>502</v>
      </c>
      <c r="BX834" s="32" t="s">
        <v>730</v>
      </c>
      <c r="BY834" s="355" t="s">
        <v>726</v>
      </c>
      <c r="BZ834" s="32">
        <v>1210401</v>
      </c>
      <c r="CA834" s="354">
        <v>1088</v>
      </c>
    </row>
    <row r="835" spans="74:79" x14ac:dyDescent="0.25">
      <c r="BV835" s="255" t="str">
        <f t="shared" si="150"/>
        <v>D.L8.14_14T.1210401</v>
      </c>
      <c r="BW835" s="32" t="s">
        <v>502</v>
      </c>
      <c r="BX835" s="32" t="s">
        <v>730</v>
      </c>
      <c r="BY835" s="32" t="s">
        <v>722</v>
      </c>
      <c r="BZ835" s="32">
        <v>1210401</v>
      </c>
      <c r="CA835" s="354">
        <v>976</v>
      </c>
    </row>
    <row r="836" spans="74:79" x14ac:dyDescent="0.25">
      <c r="BV836" s="255" t="str">
        <f t="shared" si="150"/>
        <v>D.L8.14_15T.1210401</v>
      </c>
      <c r="BW836" s="32" t="s">
        <v>502</v>
      </c>
      <c r="BX836" s="32" t="s">
        <v>730</v>
      </c>
      <c r="BY836" s="32" t="s">
        <v>725</v>
      </c>
      <c r="BZ836" s="32">
        <v>1210401</v>
      </c>
      <c r="CA836" s="354">
        <v>1088</v>
      </c>
    </row>
    <row r="837" spans="74:79" x14ac:dyDescent="0.25">
      <c r="BV837" s="255" t="str">
        <f t="shared" si="150"/>
        <v>D.L8.14_16T.1210401</v>
      </c>
      <c r="BW837" s="32" t="s">
        <v>502</v>
      </c>
      <c r="BX837" s="32" t="s">
        <v>730</v>
      </c>
      <c r="BY837" s="32" t="s">
        <v>727</v>
      </c>
      <c r="BZ837" s="32">
        <v>1210401</v>
      </c>
      <c r="CA837" s="354">
        <v>1088</v>
      </c>
    </row>
    <row r="838" spans="74:79" x14ac:dyDescent="0.25">
      <c r="BV838" s="255" t="str">
        <f t="shared" si="150"/>
        <v>D.L8.15_16T.1210401</v>
      </c>
      <c r="BW838" s="32" t="s">
        <v>502</v>
      </c>
      <c r="BX838" s="32" t="s">
        <v>730</v>
      </c>
      <c r="BY838" s="355" t="s">
        <v>728</v>
      </c>
      <c r="BZ838" s="32">
        <v>1210401</v>
      </c>
      <c r="CA838" s="354">
        <v>1088</v>
      </c>
    </row>
    <row r="839" spans="74:79" x14ac:dyDescent="0.25">
      <c r="BV839" s="255" t="str">
        <f t="shared" si="150"/>
        <v>D.L8.16_16T.1210401</v>
      </c>
      <c r="BW839" s="32" t="s">
        <v>502</v>
      </c>
      <c r="BX839" s="32" t="s">
        <v>730</v>
      </c>
      <c r="BY839" s="32" t="s">
        <v>729</v>
      </c>
      <c r="BZ839" s="32">
        <v>1210401</v>
      </c>
      <c r="CA839" s="354">
        <v>1088</v>
      </c>
    </row>
    <row r="840" spans="74:79" x14ac:dyDescent="0.25">
      <c r="BV840" s="255" t="str">
        <f t="shared" si="150"/>
        <v>D.L8.16_18T.1210401</v>
      </c>
      <c r="BW840" s="32" t="s">
        <v>502</v>
      </c>
      <c r="BX840" s="32" t="s">
        <v>730</v>
      </c>
      <c r="BY840" s="32" t="s">
        <v>734</v>
      </c>
      <c r="BZ840" s="32">
        <v>1210401</v>
      </c>
      <c r="CA840" s="354">
        <v>1088</v>
      </c>
    </row>
    <row r="841" spans="74:79" x14ac:dyDescent="0.25">
      <c r="BV841" s="255" t="str">
        <f t="shared" si="150"/>
        <v>D.L8.6_6T.1210401</v>
      </c>
      <c r="BW841" s="32" t="s">
        <v>502</v>
      </c>
      <c r="BX841" s="32" t="s">
        <v>730</v>
      </c>
      <c r="BY841" s="32" t="s">
        <v>735</v>
      </c>
      <c r="BZ841" s="32">
        <v>1210401</v>
      </c>
      <c r="CA841" s="354">
        <v>661</v>
      </c>
    </row>
    <row r="842" spans="74:79" x14ac:dyDescent="0.25">
      <c r="BV842" s="255" t="str">
        <f t="shared" si="150"/>
        <v>D.L8.6_8T.1210401</v>
      </c>
      <c r="BW842" s="32" t="s">
        <v>502</v>
      </c>
      <c r="BX842" s="32" t="s">
        <v>730</v>
      </c>
      <c r="BY842" s="32" t="s">
        <v>736</v>
      </c>
      <c r="BZ842" s="32">
        <v>1210401</v>
      </c>
      <c r="CA842" s="354">
        <v>661</v>
      </c>
    </row>
    <row r="843" spans="74:79" x14ac:dyDescent="0.25">
      <c r="BV843" s="255" t="str">
        <f t="shared" si="150"/>
        <v>D.L8.7_10T.1210401</v>
      </c>
      <c r="BW843" s="32" t="s">
        <v>502</v>
      </c>
      <c r="BX843" s="32" t="s">
        <v>730</v>
      </c>
      <c r="BY843" s="32" t="s">
        <v>668</v>
      </c>
      <c r="BZ843" s="32">
        <v>1210401</v>
      </c>
      <c r="CA843" s="354">
        <v>781</v>
      </c>
    </row>
    <row r="844" spans="74:79" x14ac:dyDescent="0.25">
      <c r="BV844" s="255" t="str">
        <f t="shared" si="150"/>
        <v>D.L8.7_6T.1210401</v>
      </c>
      <c r="BW844" s="32" t="s">
        <v>502</v>
      </c>
      <c r="BX844" s="32" t="s">
        <v>730</v>
      </c>
      <c r="BY844" s="32" t="s">
        <v>664</v>
      </c>
      <c r="BZ844" s="32">
        <v>1210401</v>
      </c>
      <c r="CA844" s="354">
        <v>661</v>
      </c>
    </row>
    <row r="845" spans="74:79" x14ac:dyDescent="0.25">
      <c r="BV845" s="255" t="str">
        <f t="shared" si="150"/>
        <v>D.L8.7_8T.1210401</v>
      </c>
      <c r="BW845" s="32" t="s">
        <v>502</v>
      </c>
      <c r="BX845" s="32" t="s">
        <v>730</v>
      </c>
      <c r="BY845" s="32" t="s">
        <v>666</v>
      </c>
      <c r="BZ845" s="32">
        <v>1210401</v>
      </c>
      <c r="CA845" s="354">
        <v>661</v>
      </c>
    </row>
    <row r="846" spans="74:79" x14ac:dyDescent="0.25">
      <c r="BV846" s="255" t="str">
        <f t="shared" si="150"/>
        <v>D.L8.7H_10T.1210401</v>
      </c>
      <c r="BW846" s="32" t="s">
        <v>502</v>
      </c>
      <c r="BX846" s="32" t="s">
        <v>730</v>
      </c>
      <c r="BY846" s="32" t="s">
        <v>674</v>
      </c>
      <c r="BZ846" s="32">
        <v>1210401</v>
      </c>
      <c r="CA846" s="354">
        <v>781</v>
      </c>
    </row>
    <row r="847" spans="74:79" x14ac:dyDescent="0.25">
      <c r="BV847" s="255" t="str">
        <f t="shared" si="150"/>
        <v>D.L8.8_10T.1210401</v>
      </c>
      <c r="BW847" s="32" t="s">
        <v>502</v>
      </c>
      <c r="BX847" s="32" t="s">
        <v>730</v>
      </c>
      <c r="BY847" s="32" t="s">
        <v>669</v>
      </c>
      <c r="BZ847" s="32">
        <v>1210401</v>
      </c>
      <c r="CA847" s="354">
        <v>781</v>
      </c>
    </row>
    <row r="848" spans="74:79" x14ac:dyDescent="0.25">
      <c r="BV848" s="255" t="str">
        <f t="shared" si="150"/>
        <v>D.L8.8_12T.1210401</v>
      </c>
      <c r="BW848" s="32" t="s">
        <v>502</v>
      </c>
      <c r="BX848" s="32" t="s">
        <v>730</v>
      </c>
      <c r="BY848" s="32" t="s">
        <v>671</v>
      </c>
      <c r="BZ848" s="32">
        <v>1210401</v>
      </c>
      <c r="CA848" s="354">
        <v>798</v>
      </c>
    </row>
    <row r="849" spans="74:79" x14ac:dyDescent="0.25">
      <c r="BV849" s="255" t="str">
        <f t="shared" si="150"/>
        <v>D.L8.8_6T.1210401</v>
      </c>
      <c r="BW849" s="32" t="s">
        <v>502</v>
      </c>
      <c r="BX849" s="32" t="s">
        <v>730</v>
      </c>
      <c r="BY849" s="32" t="s">
        <v>665</v>
      </c>
      <c r="BZ849" s="32">
        <v>1210401</v>
      </c>
      <c r="CA849" s="354">
        <v>661</v>
      </c>
    </row>
    <row r="850" spans="74:79" x14ac:dyDescent="0.25">
      <c r="BV850" s="255" t="str">
        <f t="shared" si="150"/>
        <v>D.L8.8_8T.1210401</v>
      </c>
      <c r="BW850" s="32" t="s">
        <v>502</v>
      </c>
      <c r="BX850" s="32" t="s">
        <v>730</v>
      </c>
      <c r="BY850" s="32" t="s">
        <v>667</v>
      </c>
      <c r="BZ850" s="32">
        <v>1210401</v>
      </c>
      <c r="CA850" s="354">
        <v>661</v>
      </c>
    </row>
    <row r="851" spans="74:79" x14ac:dyDescent="0.25">
      <c r="BV851" s="255" t="str">
        <f t="shared" si="150"/>
        <v>D.L8.9_10T.1210401</v>
      </c>
      <c r="BW851" s="32" t="s">
        <v>502</v>
      </c>
      <c r="BX851" s="32" t="s">
        <v>730</v>
      </c>
      <c r="BY851" s="32" t="s">
        <v>670</v>
      </c>
      <c r="BZ851" s="32">
        <v>1210401</v>
      </c>
      <c r="CA851" s="354">
        <v>781</v>
      </c>
    </row>
    <row r="852" spans="74:79" x14ac:dyDescent="0.25">
      <c r="BV852" s="255" t="str">
        <f t="shared" si="150"/>
        <v>D.L8.9_12T.1210401</v>
      </c>
      <c r="BW852" s="32" t="s">
        <v>502</v>
      </c>
      <c r="BX852" s="32" t="s">
        <v>730</v>
      </c>
      <c r="BY852" s="32" t="s">
        <v>672</v>
      </c>
      <c r="BZ852" s="32">
        <v>1210401</v>
      </c>
      <c r="CA852" s="354">
        <v>798</v>
      </c>
    </row>
    <row r="853" spans="74:79" x14ac:dyDescent="0.25">
      <c r="BV853" s="255" t="str">
        <f t="shared" si="150"/>
        <v>D.L8.9_13T.1210401</v>
      </c>
      <c r="BW853" s="32" t="s">
        <v>502</v>
      </c>
      <c r="BX853" s="32" t="s">
        <v>730</v>
      </c>
      <c r="BY853" s="32" t="s">
        <v>673</v>
      </c>
      <c r="BZ853" s="32">
        <v>1210401</v>
      </c>
      <c r="CA853" s="354">
        <v>869</v>
      </c>
    </row>
    <row r="854" spans="74:79" x14ac:dyDescent="0.25">
      <c r="BV854" s="255" t="str">
        <f t="shared" ref="BV854:BV917" si="151">CONCATENATE(BW854,".",BX854,".",BY854,".",BZ854)</f>
        <v>D.L8.9_14T.1210401</v>
      </c>
      <c r="BW854" s="32" t="s">
        <v>502</v>
      </c>
      <c r="BX854" s="32" t="s">
        <v>730</v>
      </c>
      <c r="BY854" s="32" t="s">
        <v>737</v>
      </c>
      <c r="BZ854" s="32">
        <v>1210401</v>
      </c>
      <c r="CA854" s="354">
        <v>976</v>
      </c>
    </row>
    <row r="855" spans="74:79" x14ac:dyDescent="0.25">
      <c r="BV855" s="255" t="str">
        <f t="shared" si="151"/>
        <v>D.LL.12_18B.1210401</v>
      </c>
      <c r="BW855" s="32" t="s">
        <v>502</v>
      </c>
      <c r="BX855" s="32" t="s">
        <v>731</v>
      </c>
      <c r="BY855" s="32" t="s">
        <v>683</v>
      </c>
      <c r="BZ855" s="32">
        <v>1210401</v>
      </c>
      <c r="CA855" s="356">
        <v>2546</v>
      </c>
    </row>
    <row r="856" spans="74:79" x14ac:dyDescent="0.25">
      <c r="BV856" s="255" t="str">
        <f t="shared" si="151"/>
        <v>D.LL.12_20B.1210401</v>
      </c>
      <c r="BW856" s="32" t="s">
        <v>502</v>
      </c>
      <c r="BX856" s="32" t="s">
        <v>731</v>
      </c>
      <c r="BY856" s="32" t="s">
        <v>686</v>
      </c>
      <c r="BZ856" s="32">
        <v>1210401</v>
      </c>
      <c r="CA856" s="356">
        <v>2567</v>
      </c>
    </row>
    <row r="857" spans="74:79" x14ac:dyDescent="0.25">
      <c r="BV857" s="255" t="str">
        <f t="shared" si="151"/>
        <v>D.LL.12_22B.1210401</v>
      </c>
      <c r="BW857" s="32" t="s">
        <v>502</v>
      </c>
      <c r="BX857" s="32" t="s">
        <v>731</v>
      </c>
      <c r="BY857" s="32" t="s">
        <v>690</v>
      </c>
      <c r="BZ857" s="32">
        <v>1210401</v>
      </c>
      <c r="CA857" s="356">
        <v>2577</v>
      </c>
    </row>
    <row r="858" spans="74:79" x14ac:dyDescent="0.25">
      <c r="BV858" s="255" t="str">
        <f t="shared" si="151"/>
        <v>D.LL.12_24B.1210401</v>
      </c>
      <c r="BW858" s="32" t="s">
        <v>502</v>
      </c>
      <c r="BX858" s="32" t="s">
        <v>731</v>
      </c>
      <c r="BY858" s="32" t="s">
        <v>695</v>
      </c>
      <c r="BZ858" s="32">
        <v>1210401</v>
      </c>
      <c r="CA858" s="356">
        <v>2719</v>
      </c>
    </row>
    <row r="859" spans="74:79" x14ac:dyDescent="0.25">
      <c r="BV859" s="255" t="str">
        <f t="shared" si="151"/>
        <v>D.LL.12_26B.1210401</v>
      </c>
      <c r="BW859" s="32" t="s">
        <v>502</v>
      </c>
      <c r="BX859" s="32" t="s">
        <v>731</v>
      </c>
      <c r="BY859" s="32" t="s">
        <v>700</v>
      </c>
      <c r="BZ859" s="32">
        <v>1210401</v>
      </c>
      <c r="CA859" s="356">
        <v>2740</v>
      </c>
    </row>
    <row r="860" spans="74:79" x14ac:dyDescent="0.25">
      <c r="BV860" s="255" t="str">
        <f t="shared" si="151"/>
        <v>D.LL.14_18B.1210401</v>
      </c>
      <c r="BW860" s="32" t="s">
        <v>502</v>
      </c>
      <c r="BX860" s="32" t="s">
        <v>731</v>
      </c>
      <c r="BY860" s="32" t="s">
        <v>684</v>
      </c>
      <c r="BZ860" s="32">
        <v>1210401</v>
      </c>
      <c r="CA860" s="356">
        <v>2546</v>
      </c>
    </row>
    <row r="861" spans="74:79" x14ac:dyDescent="0.25">
      <c r="BV861" s="255" t="str">
        <f t="shared" si="151"/>
        <v>D.LL.14_20B.1210401</v>
      </c>
      <c r="BW861" s="32" t="s">
        <v>502</v>
      </c>
      <c r="BX861" s="32" t="s">
        <v>731</v>
      </c>
      <c r="BY861" s="32" t="s">
        <v>687</v>
      </c>
      <c r="BZ861" s="32">
        <v>1210401</v>
      </c>
      <c r="CA861" s="356">
        <v>2567</v>
      </c>
    </row>
    <row r="862" spans="74:79" x14ac:dyDescent="0.25">
      <c r="BV862" s="255" t="str">
        <f t="shared" si="151"/>
        <v>D.LL.14_22B.1210401</v>
      </c>
      <c r="BW862" s="32" t="s">
        <v>502</v>
      </c>
      <c r="BX862" s="32" t="s">
        <v>731</v>
      </c>
      <c r="BY862" s="32" t="s">
        <v>691</v>
      </c>
      <c r="BZ862" s="32">
        <v>1210401</v>
      </c>
      <c r="CA862" s="356">
        <v>2577</v>
      </c>
    </row>
    <row r="863" spans="74:79" x14ac:dyDescent="0.25">
      <c r="BV863" s="255" t="str">
        <f t="shared" si="151"/>
        <v>D.LL.14_24B.1210401</v>
      </c>
      <c r="BW863" s="32" t="s">
        <v>502</v>
      </c>
      <c r="BX863" s="32" t="s">
        <v>731</v>
      </c>
      <c r="BY863" s="32" t="s">
        <v>696</v>
      </c>
      <c r="BZ863" s="32">
        <v>1210401</v>
      </c>
      <c r="CA863" s="356">
        <v>2719</v>
      </c>
    </row>
    <row r="864" spans="74:79" x14ac:dyDescent="0.25">
      <c r="BV864" s="255" t="str">
        <f t="shared" si="151"/>
        <v>D.LL.14_26B.1210401</v>
      </c>
      <c r="BW864" s="32" t="s">
        <v>502</v>
      </c>
      <c r="BX864" s="32" t="s">
        <v>731</v>
      </c>
      <c r="BY864" s="32" t="s">
        <v>701</v>
      </c>
      <c r="BZ864" s="32">
        <v>1210401</v>
      </c>
      <c r="CA864" s="356">
        <v>2740</v>
      </c>
    </row>
    <row r="865" spans="74:79" x14ac:dyDescent="0.25">
      <c r="BV865" s="255" t="str">
        <f t="shared" si="151"/>
        <v>D.LL.16_18B.1210401</v>
      </c>
      <c r="BW865" s="32" t="s">
        <v>502</v>
      </c>
      <c r="BX865" s="32" t="s">
        <v>731</v>
      </c>
      <c r="BY865" s="32" t="s">
        <v>685</v>
      </c>
      <c r="BZ865" s="32">
        <v>1210401</v>
      </c>
      <c r="CA865" s="356">
        <v>2546</v>
      </c>
    </row>
    <row r="866" spans="74:79" x14ac:dyDescent="0.25">
      <c r="BV866" s="255" t="str">
        <f t="shared" si="151"/>
        <v>D.LL.16_20B.1210401</v>
      </c>
      <c r="BW866" s="32" t="s">
        <v>502</v>
      </c>
      <c r="BX866" s="32" t="s">
        <v>731</v>
      </c>
      <c r="BY866" s="32" t="s">
        <v>688</v>
      </c>
      <c r="BZ866" s="32">
        <v>1210401</v>
      </c>
      <c r="CA866" s="356">
        <v>2567</v>
      </c>
    </row>
    <row r="867" spans="74:79" x14ac:dyDescent="0.25">
      <c r="BV867" s="255" t="str">
        <f t="shared" si="151"/>
        <v>D.LL.16_22B.1210401</v>
      </c>
      <c r="BW867" s="32" t="s">
        <v>502</v>
      </c>
      <c r="BX867" s="32" t="s">
        <v>731</v>
      </c>
      <c r="BY867" s="32" t="s">
        <v>692</v>
      </c>
      <c r="BZ867" s="32">
        <v>1210401</v>
      </c>
      <c r="CA867" s="356">
        <v>2577</v>
      </c>
    </row>
    <row r="868" spans="74:79" x14ac:dyDescent="0.25">
      <c r="BV868" s="255" t="str">
        <f t="shared" si="151"/>
        <v>D.LL.16_24B.1210401</v>
      </c>
      <c r="BW868" s="32" t="s">
        <v>502</v>
      </c>
      <c r="BX868" s="32" t="s">
        <v>731</v>
      </c>
      <c r="BY868" s="32" t="s">
        <v>697</v>
      </c>
      <c r="BZ868" s="32">
        <v>1210401</v>
      </c>
      <c r="CA868" s="356">
        <v>2719</v>
      </c>
    </row>
    <row r="869" spans="74:79" x14ac:dyDescent="0.25">
      <c r="BV869" s="255" t="str">
        <f t="shared" si="151"/>
        <v>D.LL.16_26B.1210401</v>
      </c>
      <c r="BW869" s="32" t="s">
        <v>502</v>
      </c>
      <c r="BX869" s="32" t="s">
        <v>731</v>
      </c>
      <c r="BY869" s="32" t="s">
        <v>702</v>
      </c>
      <c r="BZ869" s="32">
        <v>1210401</v>
      </c>
      <c r="CA869" s="356">
        <v>2740</v>
      </c>
    </row>
    <row r="870" spans="74:79" x14ac:dyDescent="0.25">
      <c r="BV870" s="255" t="str">
        <f t="shared" si="151"/>
        <v>D.LL.18_20B.1210401</v>
      </c>
      <c r="BW870" s="32" t="s">
        <v>502</v>
      </c>
      <c r="BX870" s="32" t="s">
        <v>731</v>
      </c>
      <c r="BY870" s="32" t="s">
        <v>689</v>
      </c>
      <c r="BZ870" s="32">
        <v>1210401</v>
      </c>
      <c r="CA870" s="356">
        <v>2567</v>
      </c>
    </row>
    <row r="871" spans="74:79" x14ac:dyDescent="0.25">
      <c r="BV871" s="255" t="str">
        <f t="shared" si="151"/>
        <v>D.LL.18_22B.1210401</v>
      </c>
      <c r="BW871" s="32" t="s">
        <v>502</v>
      </c>
      <c r="BX871" s="32" t="s">
        <v>731</v>
      </c>
      <c r="BY871" s="32" t="s">
        <v>693</v>
      </c>
      <c r="BZ871" s="32">
        <v>1210401</v>
      </c>
      <c r="CA871" s="356">
        <v>2577</v>
      </c>
    </row>
    <row r="872" spans="74:79" x14ac:dyDescent="0.25">
      <c r="BV872" s="255" t="str">
        <f t="shared" si="151"/>
        <v>D.LL.18_24B.1210401</v>
      </c>
      <c r="BW872" s="32" t="s">
        <v>502</v>
      </c>
      <c r="BX872" s="32" t="s">
        <v>731</v>
      </c>
      <c r="BY872" s="32" t="s">
        <v>698</v>
      </c>
      <c r="BZ872" s="32">
        <v>1210401</v>
      </c>
      <c r="CA872" s="356">
        <v>2719</v>
      </c>
    </row>
    <row r="873" spans="74:79" x14ac:dyDescent="0.25">
      <c r="BV873" s="255" t="str">
        <f t="shared" si="151"/>
        <v>D.LL.20_20B.1210401</v>
      </c>
      <c r="BW873" s="32" t="s">
        <v>502</v>
      </c>
      <c r="BX873" s="32" t="s">
        <v>731</v>
      </c>
      <c r="BY873" s="32" t="s">
        <v>738</v>
      </c>
      <c r="BZ873" s="32">
        <v>1210401</v>
      </c>
      <c r="CA873" s="356">
        <v>2567</v>
      </c>
    </row>
    <row r="874" spans="74:79" x14ac:dyDescent="0.25">
      <c r="BV874" s="255" t="str">
        <f t="shared" si="151"/>
        <v>D.LL.20_22B.1210401</v>
      </c>
      <c r="BW874" s="32" t="s">
        <v>502</v>
      </c>
      <c r="BX874" s="32" t="s">
        <v>731</v>
      </c>
      <c r="BY874" s="32" t="s">
        <v>694</v>
      </c>
      <c r="BZ874" s="32">
        <v>1210401</v>
      </c>
      <c r="CA874" s="356">
        <v>2577</v>
      </c>
    </row>
    <row r="875" spans="74:79" x14ac:dyDescent="0.25">
      <c r="BV875" s="255" t="str">
        <f t="shared" si="151"/>
        <v>D.LL.20_24B.1210401</v>
      </c>
      <c r="BW875" s="32" t="s">
        <v>502</v>
      </c>
      <c r="BX875" s="32" t="s">
        <v>731</v>
      </c>
      <c r="BY875" s="32" t="s">
        <v>699</v>
      </c>
      <c r="BZ875" s="32">
        <v>1210401</v>
      </c>
      <c r="CA875" s="356">
        <v>2719</v>
      </c>
    </row>
    <row r="876" spans="74:79" x14ac:dyDescent="0.25">
      <c r="BV876" s="255" t="str">
        <f t="shared" si="151"/>
        <v>D.LL.12_14F.1210401</v>
      </c>
      <c r="BW876" s="32" t="s">
        <v>502</v>
      </c>
      <c r="BX876" s="32" t="s">
        <v>731</v>
      </c>
      <c r="BY876" s="32" t="s">
        <v>703</v>
      </c>
      <c r="BZ876" s="32">
        <v>1210401</v>
      </c>
      <c r="CA876" s="356">
        <v>1590</v>
      </c>
    </row>
    <row r="877" spans="74:79" x14ac:dyDescent="0.25">
      <c r="BV877" s="255" t="str">
        <f t="shared" si="151"/>
        <v>D.LL.13_14F.1210401</v>
      </c>
      <c r="BW877" s="32" t="s">
        <v>502</v>
      </c>
      <c r="BX877" s="32" t="s">
        <v>731</v>
      </c>
      <c r="BY877" s="32" t="s">
        <v>704</v>
      </c>
      <c r="BZ877" s="32">
        <v>1210401</v>
      </c>
      <c r="CA877" s="356">
        <v>1590</v>
      </c>
    </row>
    <row r="878" spans="74:79" x14ac:dyDescent="0.25">
      <c r="BV878" s="255" t="str">
        <f t="shared" si="151"/>
        <v>D.LL.13_15F.1210401</v>
      </c>
      <c r="BW878" s="32" t="s">
        <v>502</v>
      </c>
      <c r="BX878" s="32" t="s">
        <v>731</v>
      </c>
      <c r="BY878" s="32" t="s">
        <v>706</v>
      </c>
      <c r="BZ878" s="32">
        <v>1210401</v>
      </c>
      <c r="CA878" s="356">
        <v>1652</v>
      </c>
    </row>
    <row r="879" spans="74:79" x14ac:dyDescent="0.25">
      <c r="BV879" s="255" t="str">
        <f t="shared" si="151"/>
        <v>D.LL.13_16F.1210401</v>
      </c>
      <c r="BW879" s="32" t="s">
        <v>502</v>
      </c>
      <c r="BX879" s="32" t="s">
        <v>731</v>
      </c>
      <c r="BY879" s="32" t="s">
        <v>708</v>
      </c>
      <c r="BZ879" s="32">
        <v>1210401</v>
      </c>
      <c r="CA879" s="356">
        <v>1681</v>
      </c>
    </row>
    <row r="880" spans="74:79" x14ac:dyDescent="0.25">
      <c r="BV880" s="255" t="str">
        <f t="shared" si="151"/>
        <v>D.LL.14_14F.1210401</v>
      </c>
      <c r="BW880" s="32" t="s">
        <v>502</v>
      </c>
      <c r="BX880" s="32" t="s">
        <v>731</v>
      </c>
      <c r="BY880" s="32" t="s">
        <v>705</v>
      </c>
      <c r="BZ880" s="32">
        <v>1210401</v>
      </c>
      <c r="CA880" s="356">
        <v>1590</v>
      </c>
    </row>
    <row r="881" spans="74:79" x14ac:dyDescent="0.25">
      <c r="BV881" s="255" t="str">
        <f t="shared" si="151"/>
        <v>D.LL.14_15F.1210401</v>
      </c>
      <c r="BW881" s="32" t="s">
        <v>502</v>
      </c>
      <c r="BX881" s="32" t="s">
        <v>731</v>
      </c>
      <c r="BY881" s="32" t="s">
        <v>707</v>
      </c>
      <c r="BZ881" s="32">
        <v>1210401</v>
      </c>
      <c r="CA881" s="356">
        <v>1652</v>
      </c>
    </row>
    <row r="882" spans="74:79" x14ac:dyDescent="0.25">
      <c r="BV882" s="255" t="str">
        <f t="shared" si="151"/>
        <v>D.LL.14_16F.1210401</v>
      </c>
      <c r="BW882" s="32" t="s">
        <v>502</v>
      </c>
      <c r="BX882" s="32" t="s">
        <v>731</v>
      </c>
      <c r="BY882" s="32" t="s">
        <v>709</v>
      </c>
      <c r="BZ882" s="32">
        <v>1210401</v>
      </c>
      <c r="CA882" s="356">
        <v>1681</v>
      </c>
    </row>
    <row r="883" spans="74:79" x14ac:dyDescent="0.25">
      <c r="BV883" s="255" t="str">
        <f t="shared" si="151"/>
        <v>D.LL.15_16F.1210401</v>
      </c>
      <c r="BW883" s="32" t="s">
        <v>502</v>
      </c>
      <c r="BX883" s="32" t="s">
        <v>731</v>
      </c>
      <c r="BY883" s="32" t="s">
        <v>710</v>
      </c>
      <c r="BZ883" s="32">
        <v>1210401</v>
      </c>
      <c r="CA883" s="356">
        <v>1681</v>
      </c>
    </row>
    <row r="884" spans="74:79" x14ac:dyDescent="0.25">
      <c r="BV884" s="255" t="str">
        <f t="shared" si="151"/>
        <v>D.LL.16_16F.1210401</v>
      </c>
      <c r="BW884" s="32" t="s">
        <v>502</v>
      </c>
      <c r="BX884" s="32" t="s">
        <v>731</v>
      </c>
      <c r="BY884" s="32" t="s">
        <v>711</v>
      </c>
      <c r="BZ884" s="32">
        <v>1210401</v>
      </c>
      <c r="CA884" s="356">
        <v>1681</v>
      </c>
    </row>
    <row r="885" spans="74:79" x14ac:dyDescent="0.25">
      <c r="BV885" s="255" t="str">
        <f t="shared" si="151"/>
        <v>D.LL.16_18F.1210401</v>
      </c>
      <c r="BW885" s="32" t="s">
        <v>502</v>
      </c>
      <c r="BX885" s="32" t="s">
        <v>731</v>
      </c>
      <c r="BY885" s="32" t="s">
        <v>712</v>
      </c>
      <c r="BZ885" s="32">
        <v>1210401</v>
      </c>
      <c r="CA885" s="356">
        <v>1817</v>
      </c>
    </row>
    <row r="886" spans="74:79" x14ac:dyDescent="0.25">
      <c r="BV886" s="255" t="str">
        <f t="shared" si="151"/>
        <v>D.LL.10_14S.1210401</v>
      </c>
      <c r="BW886" s="32" t="s">
        <v>502</v>
      </c>
      <c r="BX886" s="32" t="s">
        <v>731</v>
      </c>
      <c r="BY886" s="32" t="s">
        <v>733</v>
      </c>
      <c r="BZ886" s="32">
        <v>1210401</v>
      </c>
      <c r="CA886" s="356">
        <v>1180</v>
      </c>
    </row>
    <row r="887" spans="74:79" x14ac:dyDescent="0.25">
      <c r="BV887" s="255" t="str">
        <f t="shared" si="151"/>
        <v>D.LL.4_14S.1210401</v>
      </c>
      <c r="BW887" s="32" t="s">
        <v>502</v>
      </c>
      <c r="BX887" s="32" t="s">
        <v>731</v>
      </c>
      <c r="BY887" s="32" t="s">
        <v>739</v>
      </c>
      <c r="BZ887" s="32">
        <v>1210401</v>
      </c>
      <c r="CA887" s="356">
        <v>1022</v>
      </c>
    </row>
    <row r="888" spans="74:79" x14ac:dyDescent="0.25">
      <c r="BV888" s="255" t="str">
        <f t="shared" si="151"/>
        <v>D.LL.4_14x8S.1210401</v>
      </c>
      <c r="BW888" s="32" t="s">
        <v>502</v>
      </c>
      <c r="BX888" s="32" t="s">
        <v>731</v>
      </c>
      <c r="BY888" s="32" t="s">
        <v>740</v>
      </c>
      <c r="BZ888" s="32">
        <v>1210401</v>
      </c>
      <c r="CA888" s="356">
        <v>1022</v>
      </c>
    </row>
    <row r="889" spans="74:79" x14ac:dyDescent="0.25">
      <c r="BV889" s="255" t="str">
        <f t="shared" si="151"/>
        <v>D.LL.5_14S.1210401</v>
      </c>
      <c r="BW889" s="32" t="s">
        <v>502</v>
      </c>
      <c r="BX889" s="32" t="s">
        <v>731</v>
      </c>
      <c r="BY889" s="32" t="s">
        <v>677</v>
      </c>
      <c r="BZ889" s="32">
        <v>1210401</v>
      </c>
      <c r="CA889" s="356">
        <v>1022</v>
      </c>
    </row>
    <row r="890" spans="74:79" x14ac:dyDescent="0.25">
      <c r="BV890" s="255" t="str">
        <f t="shared" si="151"/>
        <v>D.LL.5_14x8S.1210401</v>
      </c>
      <c r="BW890" s="32" t="s">
        <v>502</v>
      </c>
      <c r="BX890" s="32" t="s">
        <v>731</v>
      </c>
      <c r="BY890" s="32" t="s">
        <v>681</v>
      </c>
      <c r="BZ890" s="32">
        <v>1210401</v>
      </c>
      <c r="CA890" s="356">
        <v>1022</v>
      </c>
    </row>
    <row r="891" spans="74:79" x14ac:dyDescent="0.25">
      <c r="BV891" s="255" t="str">
        <f t="shared" si="151"/>
        <v>D.LL.5H_14S.1210401</v>
      </c>
      <c r="BW891" s="32" t="s">
        <v>502</v>
      </c>
      <c r="BX891" s="32" t="s">
        <v>731</v>
      </c>
      <c r="BY891" s="32" t="s">
        <v>1208</v>
      </c>
      <c r="BZ891" s="32">
        <v>1210401</v>
      </c>
      <c r="CA891" s="356">
        <v>1048</v>
      </c>
    </row>
    <row r="892" spans="74:79" x14ac:dyDescent="0.25">
      <c r="BV892" s="255" t="str">
        <f t="shared" si="151"/>
        <v>D.LL.5H_14x8S.1210401</v>
      </c>
      <c r="BW892" s="32" t="s">
        <v>502</v>
      </c>
      <c r="BX892" s="32" t="s">
        <v>731</v>
      </c>
      <c r="BY892" s="32" t="s">
        <v>1209</v>
      </c>
      <c r="BZ892" s="32">
        <v>1210401</v>
      </c>
      <c r="CA892" s="356">
        <v>1048</v>
      </c>
    </row>
    <row r="893" spans="74:79" x14ac:dyDescent="0.25">
      <c r="BV893" s="255" t="str">
        <f t="shared" si="151"/>
        <v>D.LL.6_12S.1210401</v>
      </c>
      <c r="BW893" s="32" t="s">
        <v>502</v>
      </c>
      <c r="BX893" s="32" t="s">
        <v>731</v>
      </c>
      <c r="BY893" s="32" t="s">
        <v>675</v>
      </c>
      <c r="BZ893" s="32">
        <v>1210401</v>
      </c>
      <c r="CA893" s="356">
        <v>1033</v>
      </c>
    </row>
    <row r="894" spans="74:79" x14ac:dyDescent="0.25">
      <c r="BV894" s="255" t="str">
        <f t="shared" si="151"/>
        <v>D.LL.6_13S.1210401</v>
      </c>
      <c r="BW894" s="32" t="s">
        <v>502</v>
      </c>
      <c r="BX894" s="32" t="s">
        <v>731</v>
      </c>
      <c r="BY894" s="32" t="s">
        <v>676</v>
      </c>
      <c r="BZ894" s="32">
        <v>1210401</v>
      </c>
      <c r="CA894" s="356">
        <v>1061</v>
      </c>
    </row>
    <row r="895" spans="74:79" x14ac:dyDescent="0.25">
      <c r="BV895" s="255" t="str">
        <f t="shared" si="151"/>
        <v>D.LL.6H_14S.1210401</v>
      </c>
      <c r="BW895" s="32" t="s">
        <v>502</v>
      </c>
      <c r="BX895" s="32" t="s">
        <v>731</v>
      </c>
      <c r="BY895" s="32" t="s">
        <v>680</v>
      </c>
      <c r="BZ895" s="32">
        <v>1210401</v>
      </c>
      <c r="CA895" s="356">
        <v>1101</v>
      </c>
    </row>
    <row r="896" spans="74:79" x14ac:dyDescent="0.25">
      <c r="BV896" s="255" t="str">
        <f t="shared" si="151"/>
        <v>D.LL.6H_14x8S.1210401</v>
      </c>
      <c r="BW896" s="32" t="s">
        <v>502</v>
      </c>
      <c r="BX896" s="32" t="s">
        <v>731</v>
      </c>
      <c r="BY896" s="32" t="s">
        <v>682</v>
      </c>
      <c r="BZ896" s="32">
        <v>1210401</v>
      </c>
      <c r="CA896" s="356">
        <v>1101</v>
      </c>
    </row>
    <row r="897" spans="74:79" x14ac:dyDescent="0.25">
      <c r="BV897" s="255" t="str">
        <f t="shared" si="151"/>
        <v>D.LL.8_14S.1210401</v>
      </c>
      <c r="BW897" s="32" t="s">
        <v>502</v>
      </c>
      <c r="BX897" s="32" t="s">
        <v>731</v>
      </c>
      <c r="BY897" s="32" t="s">
        <v>678</v>
      </c>
      <c r="BZ897" s="32">
        <v>1210401</v>
      </c>
      <c r="CA897" s="356">
        <v>1152</v>
      </c>
    </row>
    <row r="898" spans="74:79" x14ac:dyDescent="0.25">
      <c r="BV898" s="255" t="str">
        <f t="shared" si="151"/>
        <v>D.LL.10_12T.1210401</v>
      </c>
      <c r="BW898" s="32" t="s">
        <v>502</v>
      </c>
      <c r="BX898" s="32" t="s">
        <v>731</v>
      </c>
      <c r="BY898" s="32" t="s">
        <v>713</v>
      </c>
      <c r="BZ898" s="32">
        <v>1210401</v>
      </c>
      <c r="CA898" s="356">
        <v>1330</v>
      </c>
    </row>
    <row r="899" spans="74:79" x14ac:dyDescent="0.25">
      <c r="BV899" s="255" t="str">
        <f t="shared" si="151"/>
        <v>D.LL.10_13T.1210401</v>
      </c>
      <c r="BW899" s="32" t="s">
        <v>502</v>
      </c>
      <c r="BX899" s="32" t="s">
        <v>731</v>
      </c>
      <c r="BY899" s="32" t="s">
        <v>715</v>
      </c>
      <c r="BZ899" s="32">
        <v>1210401</v>
      </c>
      <c r="CA899" s="356">
        <v>1341</v>
      </c>
    </row>
    <row r="900" spans="74:79" x14ac:dyDescent="0.25">
      <c r="BV900" s="255" t="str">
        <f t="shared" si="151"/>
        <v>D.LL.10_14T.1210401</v>
      </c>
      <c r="BW900" s="32" t="s">
        <v>502</v>
      </c>
      <c r="BX900" s="32" t="s">
        <v>731</v>
      </c>
      <c r="BY900" s="32" t="s">
        <v>718</v>
      </c>
      <c r="BZ900" s="32">
        <v>1210401</v>
      </c>
      <c r="CA900" s="356">
        <v>1467</v>
      </c>
    </row>
    <row r="901" spans="74:79" x14ac:dyDescent="0.25">
      <c r="BV901" s="255" t="str">
        <f t="shared" si="151"/>
        <v>D.LL.11_12T.1210401</v>
      </c>
      <c r="BW901" s="32" t="s">
        <v>502</v>
      </c>
      <c r="BX901" s="32" t="s">
        <v>731</v>
      </c>
      <c r="BY901" s="32" t="s">
        <v>714</v>
      </c>
      <c r="BZ901" s="32">
        <v>1210401</v>
      </c>
      <c r="CA901" s="356">
        <v>1330</v>
      </c>
    </row>
    <row r="902" spans="74:79" x14ac:dyDescent="0.25">
      <c r="BV902" s="255" t="str">
        <f t="shared" si="151"/>
        <v>D.LL.11_13T.1210401</v>
      </c>
      <c r="BW902" s="32" t="s">
        <v>502</v>
      </c>
      <c r="BX902" s="32" t="s">
        <v>731</v>
      </c>
      <c r="BY902" s="32" t="s">
        <v>716</v>
      </c>
      <c r="BZ902" s="32">
        <v>1210401</v>
      </c>
      <c r="CA902" s="356">
        <v>1341</v>
      </c>
    </row>
    <row r="903" spans="74:79" x14ac:dyDescent="0.25">
      <c r="BV903" s="255" t="str">
        <f t="shared" si="151"/>
        <v>D.LL.11_14T.1210401</v>
      </c>
      <c r="BW903" s="32" t="s">
        <v>502</v>
      </c>
      <c r="BX903" s="32" t="s">
        <v>731</v>
      </c>
      <c r="BY903" s="32" t="s">
        <v>719</v>
      </c>
      <c r="BZ903" s="32">
        <v>1210401</v>
      </c>
      <c r="CA903" s="356">
        <v>1467</v>
      </c>
    </row>
    <row r="904" spans="74:79" x14ac:dyDescent="0.25">
      <c r="BV904" s="255" t="str">
        <f t="shared" si="151"/>
        <v>D.LL.12_13T.1210401</v>
      </c>
      <c r="BW904" s="32" t="s">
        <v>502</v>
      </c>
      <c r="BX904" s="32" t="s">
        <v>731</v>
      </c>
      <c r="BY904" s="32" t="s">
        <v>717</v>
      </c>
      <c r="BZ904" s="32">
        <v>1210401</v>
      </c>
      <c r="CA904" s="356">
        <v>1341</v>
      </c>
    </row>
    <row r="905" spans="74:79" x14ac:dyDescent="0.25">
      <c r="BV905" s="255" t="str">
        <f t="shared" si="151"/>
        <v>D.LL.12_14T.1210401</v>
      </c>
      <c r="BW905" s="32" t="s">
        <v>502</v>
      </c>
      <c r="BX905" s="32" t="s">
        <v>731</v>
      </c>
      <c r="BY905" s="32" t="s">
        <v>720</v>
      </c>
      <c r="BZ905" s="32">
        <v>1210401</v>
      </c>
      <c r="CA905" s="356">
        <v>1467</v>
      </c>
    </row>
    <row r="906" spans="74:79" x14ac:dyDescent="0.25">
      <c r="BV906" s="255" t="str">
        <f t="shared" si="151"/>
        <v>D.LL.12_15T.1210401</v>
      </c>
      <c r="BW906" s="32" t="s">
        <v>502</v>
      </c>
      <c r="BX906" s="32" t="s">
        <v>731</v>
      </c>
      <c r="BY906" s="32" t="s">
        <v>723</v>
      </c>
      <c r="BZ906" s="32">
        <v>1210401</v>
      </c>
      <c r="CA906" s="356">
        <v>1530</v>
      </c>
    </row>
    <row r="907" spans="74:79" x14ac:dyDescent="0.25">
      <c r="BV907" s="255" t="str">
        <f t="shared" si="151"/>
        <v>D.LL.13_14T.1210401</v>
      </c>
      <c r="BW907" s="32" t="s">
        <v>502</v>
      </c>
      <c r="BX907" s="32" t="s">
        <v>731</v>
      </c>
      <c r="BY907" s="32" t="s">
        <v>721</v>
      </c>
      <c r="BZ907" s="32">
        <v>1210401</v>
      </c>
      <c r="CA907" s="356">
        <v>1467</v>
      </c>
    </row>
    <row r="908" spans="74:79" x14ac:dyDescent="0.25">
      <c r="BV908" s="255" t="str">
        <f t="shared" si="151"/>
        <v>D.LL.13_15T.1210401</v>
      </c>
      <c r="BW908" s="32" t="s">
        <v>502</v>
      </c>
      <c r="BX908" s="32" t="s">
        <v>731</v>
      </c>
      <c r="BY908" s="32" t="s">
        <v>724</v>
      </c>
      <c r="BZ908" s="32">
        <v>1210401</v>
      </c>
      <c r="CA908" s="356">
        <v>1530</v>
      </c>
    </row>
    <row r="909" spans="74:79" x14ac:dyDescent="0.25">
      <c r="BV909" s="255" t="str">
        <f t="shared" si="151"/>
        <v>D.LL.13_16T.1210401</v>
      </c>
      <c r="BW909" s="32" t="s">
        <v>502</v>
      </c>
      <c r="BX909" s="32" t="s">
        <v>731</v>
      </c>
      <c r="BY909" s="32" t="s">
        <v>726</v>
      </c>
      <c r="BZ909" s="32">
        <v>1210401</v>
      </c>
      <c r="CA909" s="356">
        <v>1609</v>
      </c>
    </row>
    <row r="910" spans="74:79" x14ac:dyDescent="0.25">
      <c r="BV910" s="255" t="str">
        <f t="shared" si="151"/>
        <v>D.LL.14_14T.1210401</v>
      </c>
      <c r="BW910" s="32" t="s">
        <v>502</v>
      </c>
      <c r="BX910" s="32" t="s">
        <v>731</v>
      </c>
      <c r="BY910" s="32" t="s">
        <v>722</v>
      </c>
      <c r="BZ910" s="32">
        <v>1210401</v>
      </c>
      <c r="CA910" s="356">
        <v>1467</v>
      </c>
    </row>
    <row r="911" spans="74:79" x14ac:dyDescent="0.25">
      <c r="BV911" s="255" t="str">
        <f t="shared" si="151"/>
        <v>D.LL.14_15T.1210401</v>
      </c>
      <c r="BW911" s="32" t="s">
        <v>502</v>
      </c>
      <c r="BX911" s="32" t="s">
        <v>731</v>
      </c>
      <c r="BY911" s="32" t="s">
        <v>725</v>
      </c>
      <c r="BZ911" s="32">
        <v>1210401</v>
      </c>
      <c r="CA911" s="356">
        <v>1530</v>
      </c>
    </row>
    <row r="912" spans="74:79" x14ac:dyDescent="0.25">
      <c r="BV912" s="255" t="str">
        <f t="shared" si="151"/>
        <v>D.LL.14_16T.1210401</v>
      </c>
      <c r="BW912" s="32" t="s">
        <v>502</v>
      </c>
      <c r="BX912" s="32" t="s">
        <v>731</v>
      </c>
      <c r="BY912" s="32" t="s">
        <v>727</v>
      </c>
      <c r="BZ912" s="32">
        <v>1210401</v>
      </c>
      <c r="CA912" s="356">
        <v>1609</v>
      </c>
    </row>
    <row r="913" spans="74:79" x14ac:dyDescent="0.25">
      <c r="BV913" s="255" t="str">
        <f t="shared" si="151"/>
        <v>D.LL.15_16T.1210401</v>
      </c>
      <c r="BW913" s="32" t="s">
        <v>502</v>
      </c>
      <c r="BX913" s="32" t="s">
        <v>731</v>
      </c>
      <c r="BY913" s="32" t="s">
        <v>728</v>
      </c>
      <c r="BZ913" s="32">
        <v>1210401</v>
      </c>
      <c r="CA913" s="356">
        <v>1609</v>
      </c>
    </row>
    <row r="914" spans="74:79" x14ac:dyDescent="0.25">
      <c r="BV914" s="255" t="str">
        <f t="shared" si="151"/>
        <v>D.LL.16_16T.1210401</v>
      </c>
      <c r="BW914" s="32" t="s">
        <v>502</v>
      </c>
      <c r="BX914" s="32" t="s">
        <v>731</v>
      </c>
      <c r="BY914" s="32" t="s">
        <v>729</v>
      </c>
      <c r="BZ914" s="32">
        <v>1210401</v>
      </c>
      <c r="CA914" s="356">
        <v>1609</v>
      </c>
    </row>
    <row r="915" spans="74:79" x14ac:dyDescent="0.25">
      <c r="BV915" s="255" t="str">
        <f t="shared" si="151"/>
        <v>D.LL.7_10T.1210401</v>
      </c>
      <c r="BW915" s="32" t="s">
        <v>502</v>
      </c>
      <c r="BX915" s="32" t="s">
        <v>731</v>
      </c>
      <c r="BY915" s="32" t="s">
        <v>668</v>
      </c>
      <c r="BZ915" s="32">
        <v>1210401</v>
      </c>
      <c r="CA915" s="356">
        <v>1446</v>
      </c>
    </row>
    <row r="916" spans="74:79" x14ac:dyDescent="0.25">
      <c r="BV916" s="255" t="str">
        <f t="shared" si="151"/>
        <v>D.LL.7H_10T.1210401</v>
      </c>
      <c r="BW916" s="32" t="s">
        <v>502</v>
      </c>
      <c r="BX916" s="32" t="s">
        <v>731</v>
      </c>
      <c r="BY916" s="32" t="s">
        <v>674</v>
      </c>
      <c r="BZ916" s="32">
        <v>1210401</v>
      </c>
      <c r="CA916" s="356">
        <v>1446</v>
      </c>
    </row>
    <row r="917" spans="74:79" x14ac:dyDescent="0.25">
      <c r="BV917" s="255" t="str">
        <f t="shared" si="151"/>
        <v>D.LL.8_10T.1210401</v>
      </c>
      <c r="BW917" s="32" t="s">
        <v>502</v>
      </c>
      <c r="BX917" s="32" t="s">
        <v>731</v>
      </c>
      <c r="BY917" s="32" t="s">
        <v>669</v>
      </c>
      <c r="BZ917" s="32">
        <v>1210401</v>
      </c>
      <c r="CA917" s="356">
        <v>1446</v>
      </c>
    </row>
    <row r="918" spans="74:79" x14ac:dyDescent="0.25">
      <c r="BV918" s="255" t="str">
        <f t="shared" ref="BV918:BV981" si="152">CONCATENATE(BW918,".",BX918,".",BY918,".",BZ918)</f>
        <v>D.LL.8_12T.1210401</v>
      </c>
      <c r="BW918" s="32" t="s">
        <v>502</v>
      </c>
      <c r="BX918" s="32" t="s">
        <v>731</v>
      </c>
      <c r="BY918" s="32" t="s">
        <v>671</v>
      </c>
      <c r="BZ918" s="32">
        <v>1210401</v>
      </c>
      <c r="CA918" s="356">
        <v>1330</v>
      </c>
    </row>
    <row r="919" spans="74:79" x14ac:dyDescent="0.25">
      <c r="BV919" s="255" t="str">
        <f t="shared" si="152"/>
        <v>D.LL.9_10T.1210401</v>
      </c>
      <c r="BW919" s="32" t="s">
        <v>502</v>
      </c>
      <c r="BX919" s="32" t="s">
        <v>731</v>
      </c>
      <c r="BY919" s="32" t="s">
        <v>670</v>
      </c>
      <c r="BZ919" s="32">
        <v>1210401</v>
      </c>
      <c r="CA919" s="356">
        <v>1446</v>
      </c>
    </row>
    <row r="920" spans="74:79" x14ac:dyDescent="0.25">
      <c r="BV920" s="255" t="str">
        <f t="shared" si="152"/>
        <v>D.LL.9_12T.1210401</v>
      </c>
      <c r="BW920" s="32" t="s">
        <v>502</v>
      </c>
      <c r="BX920" s="32" t="s">
        <v>731</v>
      </c>
      <c r="BY920" s="32" t="s">
        <v>672</v>
      </c>
      <c r="BZ920" s="32">
        <v>1210401</v>
      </c>
      <c r="CA920" s="356">
        <v>1330</v>
      </c>
    </row>
    <row r="921" spans="74:79" x14ac:dyDescent="0.25">
      <c r="BV921" s="255" t="str">
        <f t="shared" si="152"/>
        <v>D.LL.9_13T.1210401</v>
      </c>
      <c r="BW921" s="32" t="s">
        <v>502</v>
      </c>
      <c r="BX921" s="32" t="s">
        <v>731</v>
      </c>
      <c r="BY921" s="32" t="s">
        <v>673</v>
      </c>
      <c r="BZ921" s="32">
        <v>1210401</v>
      </c>
      <c r="CA921" s="356">
        <v>1341</v>
      </c>
    </row>
    <row r="922" spans="74:79" x14ac:dyDescent="0.25">
      <c r="BV922" s="255" t="str">
        <f t="shared" si="152"/>
        <v>D.LL.9_14T.1210401</v>
      </c>
      <c r="BW922" s="32" t="s">
        <v>502</v>
      </c>
      <c r="BX922" s="32" t="s">
        <v>731</v>
      </c>
      <c r="BY922" s="32" t="s">
        <v>737</v>
      </c>
      <c r="BZ922" s="32">
        <v>1210401</v>
      </c>
      <c r="CA922" s="356">
        <v>1467</v>
      </c>
    </row>
    <row r="923" spans="74:79" x14ac:dyDescent="0.25">
      <c r="BV923" s="255" t="str">
        <f t="shared" si="152"/>
        <v>D.LM.12_18B.1210401</v>
      </c>
      <c r="BW923" s="32" t="s">
        <v>502</v>
      </c>
      <c r="BX923" s="32" t="s">
        <v>398</v>
      </c>
      <c r="BY923" s="32" t="s">
        <v>683</v>
      </c>
      <c r="BZ923" s="32">
        <v>1210401</v>
      </c>
      <c r="CA923" s="356">
        <v>2546</v>
      </c>
    </row>
    <row r="924" spans="74:79" x14ac:dyDescent="0.25">
      <c r="BV924" s="255" t="str">
        <f t="shared" si="152"/>
        <v>D.LM.12_20B.1210401</v>
      </c>
      <c r="BW924" s="32" t="s">
        <v>502</v>
      </c>
      <c r="BX924" s="32" t="s">
        <v>398</v>
      </c>
      <c r="BY924" s="32" t="s">
        <v>686</v>
      </c>
      <c r="BZ924" s="32">
        <v>1210401</v>
      </c>
      <c r="CA924" s="356">
        <v>2567</v>
      </c>
    </row>
    <row r="925" spans="74:79" x14ac:dyDescent="0.25">
      <c r="BV925" s="255" t="str">
        <f t="shared" si="152"/>
        <v>D.LM.12_22B.1210401</v>
      </c>
      <c r="BW925" s="32" t="s">
        <v>502</v>
      </c>
      <c r="BX925" s="32" t="s">
        <v>398</v>
      </c>
      <c r="BY925" s="32" t="s">
        <v>690</v>
      </c>
      <c r="BZ925" s="32">
        <v>1210401</v>
      </c>
      <c r="CA925" s="356">
        <v>2577</v>
      </c>
    </row>
    <row r="926" spans="74:79" x14ac:dyDescent="0.25">
      <c r="BV926" s="255" t="str">
        <f t="shared" si="152"/>
        <v>D.LM.12_24B.1210401</v>
      </c>
      <c r="BW926" s="32" t="s">
        <v>502</v>
      </c>
      <c r="BX926" s="32" t="s">
        <v>398</v>
      </c>
      <c r="BY926" s="32" t="s">
        <v>695</v>
      </c>
      <c r="BZ926" s="32">
        <v>1210401</v>
      </c>
      <c r="CA926" s="356">
        <v>2719</v>
      </c>
    </row>
    <row r="927" spans="74:79" x14ac:dyDescent="0.25">
      <c r="BV927" s="255" t="str">
        <f t="shared" si="152"/>
        <v>D.LM.12_26B.1210401</v>
      </c>
      <c r="BW927" s="32" t="s">
        <v>502</v>
      </c>
      <c r="BX927" s="32" t="s">
        <v>398</v>
      </c>
      <c r="BY927" s="32" t="s">
        <v>700</v>
      </c>
      <c r="BZ927" s="32">
        <v>1210401</v>
      </c>
      <c r="CA927" s="356">
        <v>2740</v>
      </c>
    </row>
    <row r="928" spans="74:79" x14ac:dyDescent="0.25">
      <c r="BV928" s="255" t="str">
        <f t="shared" si="152"/>
        <v>D.LM.14_18B.1210401</v>
      </c>
      <c r="BW928" s="32" t="s">
        <v>502</v>
      </c>
      <c r="BX928" s="32" t="s">
        <v>398</v>
      </c>
      <c r="BY928" s="32" t="s">
        <v>684</v>
      </c>
      <c r="BZ928" s="32">
        <v>1210401</v>
      </c>
      <c r="CA928" s="356">
        <v>2546</v>
      </c>
    </row>
    <row r="929" spans="74:79" x14ac:dyDescent="0.25">
      <c r="BV929" s="255" t="str">
        <f t="shared" si="152"/>
        <v>D.LM.14_20B.1210401</v>
      </c>
      <c r="BW929" s="32" t="s">
        <v>502</v>
      </c>
      <c r="BX929" s="32" t="s">
        <v>398</v>
      </c>
      <c r="BY929" s="32" t="s">
        <v>687</v>
      </c>
      <c r="BZ929" s="32">
        <v>1210401</v>
      </c>
      <c r="CA929" s="356">
        <v>2567</v>
      </c>
    </row>
    <row r="930" spans="74:79" x14ac:dyDescent="0.25">
      <c r="BV930" s="255" t="str">
        <f t="shared" si="152"/>
        <v>D.LM.14_22B.1210401</v>
      </c>
      <c r="BW930" s="32" t="s">
        <v>502</v>
      </c>
      <c r="BX930" s="32" t="s">
        <v>398</v>
      </c>
      <c r="BY930" s="32" t="s">
        <v>691</v>
      </c>
      <c r="BZ930" s="32">
        <v>1210401</v>
      </c>
      <c r="CA930" s="356">
        <v>2577</v>
      </c>
    </row>
    <row r="931" spans="74:79" x14ac:dyDescent="0.25">
      <c r="BV931" s="255" t="str">
        <f t="shared" si="152"/>
        <v>D.LM.14_24B.1210401</v>
      </c>
      <c r="BW931" s="32" t="s">
        <v>502</v>
      </c>
      <c r="BX931" s="32" t="s">
        <v>398</v>
      </c>
      <c r="BY931" s="32" t="s">
        <v>696</v>
      </c>
      <c r="BZ931" s="32">
        <v>1210401</v>
      </c>
      <c r="CA931" s="356">
        <v>2719</v>
      </c>
    </row>
    <row r="932" spans="74:79" x14ac:dyDescent="0.25">
      <c r="BV932" s="255" t="str">
        <f t="shared" si="152"/>
        <v>D.LM.14_26B.1210401</v>
      </c>
      <c r="BW932" s="32" t="s">
        <v>502</v>
      </c>
      <c r="BX932" s="32" t="s">
        <v>398</v>
      </c>
      <c r="BY932" s="32" t="s">
        <v>701</v>
      </c>
      <c r="BZ932" s="32">
        <v>1210401</v>
      </c>
      <c r="CA932" s="356">
        <v>2740</v>
      </c>
    </row>
    <row r="933" spans="74:79" x14ac:dyDescent="0.25">
      <c r="BV933" s="255" t="str">
        <f t="shared" si="152"/>
        <v>D.LM.16_18B.1210401</v>
      </c>
      <c r="BW933" s="32" t="s">
        <v>502</v>
      </c>
      <c r="BX933" s="32" t="s">
        <v>398</v>
      </c>
      <c r="BY933" s="32" t="s">
        <v>685</v>
      </c>
      <c r="BZ933" s="32">
        <v>1210401</v>
      </c>
      <c r="CA933" s="356">
        <v>2546</v>
      </c>
    </row>
    <row r="934" spans="74:79" x14ac:dyDescent="0.25">
      <c r="BV934" s="255" t="str">
        <f t="shared" si="152"/>
        <v>D.LM.16_20B.1210401</v>
      </c>
      <c r="BW934" s="32" t="s">
        <v>502</v>
      </c>
      <c r="BX934" s="32" t="s">
        <v>398</v>
      </c>
      <c r="BY934" s="32" t="s">
        <v>688</v>
      </c>
      <c r="BZ934" s="32">
        <v>1210401</v>
      </c>
      <c r="CA934" s="356">
        <v>2567</v>
      </c>
    </row>
    <row r="935" spans="74:79" x14ac:dyDescent="0.25">
      <c r="BV935" s="255" t="str">
        <f t="shared" si="152"/>
        <v>D.LM.16_22B.1210401</v>
      </c>
      <c r="BW935" s="32" t="s">
        <v>502</v>
      </c>
      <c r="BX935" s="32" t="s">
        <v>398</v>
      </c>
      <c r="BY935" s="32" t="s">
        <v>692</v>
      </c>
      <c r="BZ935" s="32">
        <v>1210401</v>
      </c>
      <c r="CA935" s="356">
        <v>2577</v>
      </c>
    </row>
    <row r="936" spans="74:79" x14ac:dyDescent="0.25">
      <c r="BV936" s="255" t="str">
        <f t="shared" si="152"/>
        <v>D.LM.16_24B.1210401</v>
      </c>
      <c r="BW936" s="32" t="s">
        <v>502</v>
      </c>
      <c r="BX936" s="32" t="s">
        <v>398</v>
      </c>
      <c r="BY936" s="32" t="s">
        <v>697</v>
      </c>
      <c r="BZ936" s="32">
        <v>1210401</v>
      </c>
      <c r="CA936" s="356">
        <v>2719</v>
      </c>
    </row>
    <row r="937" spans="74:79" x14ac:dyDescent="0.25">
      <c r="BV937" s="255" t="str">
        <f t="shared" si="152"/>
        <v>D.LM.16_26B.1210401</v>
      </c>
      <c r="BW937" s="32" t="s">
        <v>502</v>
      </c>
      <c r="BX937" s="32" t="s">
        <v>398</v>
      </c>
      <c r="BY937" s="32" t="s">
        <v>702</v>
      </c>
      <c r="BZ937" s="32">
        <v>1210401</v>
      </c>
      <c r="CA937" s="356">
        <v>2740</v>
      </c>
    </row>
    <row r="938" spans="74:79" x14ac:dyDescent="0.25">
      <c r="BV938" s="255" t="str">
        <f t="shared" si="152"/>
        <v>D.LM.18_20B.1210401</v>
      </c>
      <c r="BW938" s="32" t="s">
        <v>502</v>
      </c>
      <c r="BX938" s="32" t="s">
        <v>398</v>
      </c>
      <c r="BY938" s="32" t="s">
        <v>689</v>
      </c>
      <c r="BZ938" s="32">
        <v>1210401</v>
      </c>
      <c r="CA938" s="356">
        <v>2567</v>
      </c>
    </row>
    <row r="939" spans="74:79" x14ac:dyDescent="0.25">
      <c r="BV939" s="255" t="str">
        <f t="shared" si="152"/>
        <v>D.LM.18_22B.1210401</v>
      </c>
      <c r="BW939" s="32" t="s">
        <v>502</v>
      </c>
      <c r="BX939" s="32" t="s">
        <v>398</v>
      </c>
      <c r="BY939" s="32" t="s">
        <v>693</v>
      </c>
      <c r="BZ939" s="32">
        <v>1210401</v>
      </c>
      <c r="CA939" s="356">
        <v>2577</v>
      </c>
    </row>
    <row r="940" spans="74:79" x14ac:dyDescent="0.25">
      <c r="BV940" s="255" t="str">
        <f t="shared" si="152"/>
        <v>D.LM.18_24B.1210401</v>
      </c>
      <c r="BW940" s="32" t="s">
        <v>502</v>
      </c>
      <c r="BX940" s="32" t="s">
        <v>398</v>
      </c>
      <c r="BY940" s="32" t="s">
        <v>698</v>
      </c>
      <c r="BZ940" s="32">
        <v>1210401</v>
      </c>
      <c r="CA940" s="356">
        <v>2719</v>
      </c>
    </row>
    <row r="941" spans="74:79" x14ac:dyDescent="0.25">
      <c r="BV941" s="255" t="str">
        <f t="shared" si="152"/>
        <v>D.LM.20_20B.1210401</v>
      </c>
      <c r="BW941" s="32" t="s">
        <v>502</v>
      </c>
      <c r="BX941" s="32" t="s">
        <v>398</v>
      </c>
      <c r="BY941" s="32" t="s">
        <v>738</v>
      </c>
      <c r="BZ941" s="32">
        <v>1210401</v>
      </c>
      <c r="CA941" s="356">
        <v>2567</v>
      </c>
    </row>
    <row r="942" spans="74:79" x14ac:dyDescent="0.25">
      <c r="BV942" s="255" t="str">
        <f t="shared" si="152"/>
        <v>D.LM.20_22B.1210401</v>
      </c>
      <c r="BW942" s="32" t="s">
        <v>502</v>
      </c>
      <c r="BX942" s="32" t="s">
        <v>398</v>
      </c>
      <c r="BY942" s="32" t="s">
        <v>694</v>
      </c>
      <c r="BZ942" s="32">
        <v>1210401</v>
      </c>
      <c r="CA942" s="356">
        <v>2577</v>
      </c>
    </row>
    <row r="943" spans="74:79" x14ac:dyDescent="0.25">
      <c r="BV943" s="255" t="str">
        <f t="shared" si="152"/>
        <v>D.LM.20_24B.1210401</v>
      </c>
      <c r="BW943" s="32" t="s">
        <v>502</v>
      </c>
      <c r="BX943" s="32" t="s">
        <v>398</v>
      </c>
      <c r="BY943" s="32" t="s">
        <v>699</v>
      </c>
      <c r="BZ943" s="32">
        <v>1210401</v>
      </c>
      <c r="CA943" s="356">
        <v>2719</v>
      </c>
    </row>
    <row r="944" spans="74:79" x14ac:dyDescent="0.25">
      <c r="BV944" s="255" t="str">
        <f t="shared" si="152"/>
        <v>D.LM.12_14F.1210401</v>
      </c>
      <c r="BW944" s="32" t="s">
        <v>502</v>
      </c>
      <c r="BX944" s="32" t="s">
        <v>398</v>
      </c>
      <c r="BY944" s="32" t="s">
        <v>703</v>
      </c>
      <c r="BZ944" s="32">
        <v>1210401</v>
      </c>
      <c r="CA944" s="356">
        <v>1590</v>
      </c>
    </row>
    <row r="945" spans="74:79" x14ac:dyDescent="0.25">
      <c r="BV945" s="255" t="str">
        <f t="shared" si="152"/>
        <v>D.LM.13_14F.1210401</v>
      </c>
      <c r="BW945" s="32" t="s">
        <v>502</v>
      </c>
      <c r="BX945" s="32" t="s">
        <v>398</v>
      </c>
      <c r="BY945" s="32" t="s">
        <v>704</v>
      </c>
      <c r="BZ945" s="32">
        <v>1210401</v>
      </c>
      <c r="CA945" s="356">
        <v>1590</v>
      </c>
    </row>
    <row r="946" spans="74:79" x14ac:dyDescent="0.25">
      <c r="BV946" s="255" t="str">
        <f t="shared" si="152"/>
        <v>D.LM.13_15F.1210401</v>
      </c>
      <c r="BW946" s="32" t="s">
        <v>502</v>
      </c>
      <c r="BX946" s="32" t="s">
        <v>398</v>
      </c>
      <c r="BY946" s="32" t="s">
        <v>706</v>
      </c>
      <c r="BZ946" s="32">
        <v>1210401</v>
      </c>
      <c r="CA946" s="356">
        <v>1652</v>
      </c>
    </row>
    <row r="947" spans="74:79" x14ac:dyDescent="0.25">
      <c r="BV947" s="255" t="str">
        <f t="shared" si="152"/>
        <v>D.LM.13_16F.1210401</v>
      </c>
      <c r="BW947" s="32" t="s">
        <v>502</v>
      </c>
      <c r="BX947" s="32" t="s">
        <v>398</v>
      </c>
      <c r="BY947" s="32" t="s">
        <v>708</v>
      </c>
      <c r="BZ947" s="32">
        <v>1210401</v>
      </c>
      <c r="CA947" s="356">
        <v>1681</v>
      </c>
    </row>
    <row r="948" spans="74:79" x14ac:dyDescent="0.25">
      <c r="BV948" s="255" t="str">
        <f t="shared" si="152"/>
        <v>D.LM.14_14F.1210401</v>
      </c>
      <c r="BW948" s="32" t="s">
        <v>502</v>
      </c>
      <c r="BX948" s="32" t="s">
        <v>398</v>
      </c>
      <c r="BY948" s="32" t="s">
        <v>705</v>
      </c>
      <c r="BZ948" s="32">
        <v>1210401</v>
      </c>
      <c r="CA948" s="356">
        <v>1590</v>
      </c>
    </row>
    <row r="949" spans="74:79" x14ac:dyDescent="0.25">
      <c r="BV949" s="255" t="str">
        <f t="shared" si="152"/>
        <v>D.LM.14_15F.1210401</v>
      </c>
      <c r="BW949" s="32" t="s">
        <v>502</v>
      </c>
      <c r="BX949" s="32" t="s">
        <v>398</v>
      </c>
      <c r="BY949" s="32" t="s">
        <v>707</v>
      </c>
      <c r="BZ949" s="32">
        <v>1210401</v>
      </c>
      <c r="CA949" s="356">
        <v>1652</v>
      </c>
    </row>
    <row r="950" spans="74:79" x14ac:dyDescent="0.25">
      <c r="BV950" s="255" t="str">
        <f t="shared" si="152"/>
        <v>D.LM.14_16F.1210401</v>
      </c>
      <c r="BW950" s="32" t="s">
        <v>502</v>
      </c>
      <c r="BX950" s="32" t="s">
        <v>398</v>
      </c>
      <c r="BY950" s="32" t="s">
        <v>709</v>
      </c>
      <c r="BZ950" s="32">
        <v>1210401</v>
      </c>
      <c r="CA950" s="356">
        <v>1681</v>
      </c>
    </row>
    <row r="951" spans="74:79" x14ac:dyDescent="0.25">
      <c r="BV951" s="255" t="str">
        <f t="shared" si="152"/>
        <v>D.LM.15_16F.1210401</v>
      </c>
      <c r="BW951" s="32" t="s">
        <v>502</v>
      </c>
      <c r="BX951" s="32" t="s">
        <v>398</v>
      </c>
      <c r="BY951" s="32" t="s">
        <v>710</v>
      </c>
      <c r="BZ951" s="32">
        <v>1210401</v>
      </c>
      <c r="CA951" s="356">
        <v>1681</v>
      </c>
    </row>
    <row r="952" spans="74:79" x14ac:dyDescent="0.25">
      <c r="BV952" s="255" t="str">
        <f t="shared" si="152"/>
        <v>D.LM.16_16F.1210401</v>
      </c>
      <c r="BW952" s="32" t="s">
        <v>502</v>
      </c>
      <c r="BX952" s="32" t="s">
        <v>398</v>
      </c>
      <c r="BY952" s="32" t="s">
        <v>711</v>
      </c>
      <c r="BZ952" s="32">
        <v>1210401</v>
      </c>
      <c r="CA952" s="356">
        <v>1681</v>
      </c>
    </row>
    <row r="953" spans="74:79" x14ac:dyDescent="0.25">
      <c r="BV953" s="255" t="str">
        <f t="shared" si="152"/>
        <v>D.LM.16_18F.1210401</v>
      </c>
      <c r="BW953" s="32" t="s">
        <v>502</v>
      </c>
      <c r="BX953" s="32" t="s">
        <v>398</v>
      </c>
      <c r="BY953" s="32" t="s">
        <v>712</v>
      </c>
      <c r="BZ953" s="32">
        <v>1210401</v>
      </c>
      <c r="CA953" s="356">
        <v>1817</v>
      </c>
    </row>
    <row r="954" spans="74:79" x14ac:dyDescent="0.25">
      <c r="BV954" s="255" t="str">
        <f t="shared" si="152"/>
        <v>D.LM.10_14S.1210401</v>
      </c>
      <c r="BW954" s="32" t="s">
        <v>502</v>
      </c>
      <c r="BX954" s="32" t="s">
        <v>398</v>
      </c>
      <c r="BY954" s="32" t="s">
        <v>733</v>
      </c>
      <c r="BZ954" s="32">
        <v>1210401</v>
      </c>
      <c r="CA954" s="356">
        <v>1180</v>
      </c>
    </row>
    <row r="955" spans="74:79" x14ac:dyDescent="0.25">
      <c r="BV955" s="255" t="str">
        <f t="shared" si="152"/>
        <v>D.LM.4_14S.1210401</v>
      </c>
      <c r="BW955" s="32" t="s">
        <v>502</v>
      </c>
      <c r="BX955" s="32" t="s">
        <v>398</v>
      </c>
      <c r="BY955" s="32" t="s">
        <v>739</v>
      </c>
      <c r="BZ955" s="32">
        <v>1210401</v>
      </c>
      <c r="CA955" s="356">
        <v>1022</v>
      </c>
    </row>
    <row r="956" spans="74:79" x14ac:dyDescent="0.25">
      <c r="BV956" s="255" t="str">
        <f t="shared" si="152"/>
        <v>D.LM.4_14x8S.1210401</v>
      </c>
      <c r="BW956" s="32" t="s">
        <v>502</v>
      </c>
      <c r="BX956" s="32" t="s">
        <v>398</v>
      </c>
      <c r="BY956" s="32" t="s">
        <v>740</v>
      </c>
      <c r="BZ956" s="32">
        <v>1210401</v>
      </c>
      <c r="CA956" s="356">
        <v>1022</v>
      </c>
    </row>
    <row r="957" spans="74:79" x14ac:dyDescent="0.25">
      <c r="BV957" s="255" t="str">
        <f t="shared" si="152"/>
        <v>D.LM.5_14S.1210401</v>
      </c>
      <c r="BW957" s="32" t="s">
        <v>502</v>
      </c>
      <c r="BX957" s="32" t="s">
        <v>398</v>
      </c>
      <c r="BY957" s="32" t="s">
        <v>677</v>
      </c>
      <c r="BZ957" s="32">
        <v>1210401</v>
      </c>
      <c r="CA957" s="356">
        <v>1022</v>
      </c>
    </row>
    <row r="958" spans="74:79" x14ac:dyDescent="0.25">
      <c r="BV958" s="255" t="str">
        <f t="shared" si="152"/>
        <v>D.LM.5_14x8S.1210401</v>
      </c>
      <c r="BW958" s="32" t="s">
        <v>502</v>
      </c>
      <c r="BX958" s="32" t="s">
        <v>398</v>
      </c>
      <c r="BY958" s="32" t="s">
        <v>681</v>
      </c>
      <c r="BZ958" s="32">
        <v>1210401</v>
      </c>
      <c r="CA958" s="356">
        <v>1022</v>
      </c>
    </row>
    <row r="959" spans="74:79" x14ac:dyDescent="0.25">
      <c r="BV959" s="255" t="str">
        <f t="shared" si="152"/>
        <v>D.LM.5H_14S.1210401</v>
      </c>
      <c r="BW959" s="32" t="s">
        <v>502</v>
      </c>
      <c r="BX959" s="32" t="s">
        <v>398</v>
      </c>
      <c r="BY959" s="32" t="s">
        <v>1208</v>
      </c>
      <c r="BZ959" s="32">
        <v>1210401</v>
      </c>
      <c r="CA959" s="356">
        <v>1048</v>
      </c>
    </row>
    <row r="960" spans="74:79" x14ac:dyDescent="0.25">
      <c r="BV960" s="255" t="str">
        <f t="shared" si="152"/>
        <v>D.LM.5H_14x8S.1210401</v>
      </c>
      <c r="BW960" s="32" t="s">
        <v>502</v>
      </c>
      <c r="BX960" s="32" t="s">
        <v>398</v>
      </c>
      <c r="BY960" s="32" t="s">
        <v>1209</v>
      </c>
      <c r="BZ960" s="32">
        <v>1210401</v>
      </c>
      <c r="CA960" s="356">
        <v>1048</v>
      </c>
    </row>
    <row r="961" spans="74:79" x14ac:dyDescent="0.25">
      <c r="BV961" s="255" t="str">
        <f t="shared" si="152"/>
        <v>D.LM.6_12S.1210401</v>
      </c>
      <c r="BW961" s="32" t="s">
        <v>502</v>
      </c>
      <c r="BX961" s="32" t="s">
        <v>398</v>
      </c>
      <c r="BY961" s="32" t="s">
        <v>675</v>
      </c>
      <c r="BZ961" s="32">
        <v>1210401</v>
      </c>
      <c r="CA961" s="356">
        <v>1033</v>
      </c>
    </row>
    <row r="962" spans="74:79" x14ac:dyDescent="0.25">
      <c r="BV962" s="255" t="str">
        <f t="shared" si="152"/>
        <v>D.LM.6_13S.1210401</v>
      </c>
      <c r="BW962" s="32" t="s">
        <v>502</v>
      </c>
      <c r="BX962" s="32" t="s">
        <v>398</v>
      </c>
      <c r="BY962" s="32" t="s">
        <v>676</v>
      </c>
      <c r="BZ962" s="32">
        <v>1210401</v>
      </c>
      <c r="CA962" s="356">
        <v>1061</v>
      </c>
    </row>
    <row r="963" spans="74:79" x14ac:dyDescent="0.25">
      <c r="BV963" s="255" t="str">
        <f t="shared" si="152"/>
        <v>D.LM.6H_14S.1210401</v>
      </c>
      <c r="BW963" s="32" t="s">
        <v>502</v>
      </c>
      <c r="BX963" s="32" t="s">
        <v>398</v>
      </c>
      <c r="BY963" s="32" t="s">
        <v>680</v>
      </c>
      <c r="BZ963" s="32">
        <v>1210401</v>
      </c>
      <c r="CA963" s="356">
        <v>1101</v>
      </c>
    </row>
    <row r="964" spans="74:79" x14ac:dyDescent="0.25">
      <c r="BV964" s="255" t="str">
        <f t="shared" si="152"/>
        <v>D.LM.6H_14x8S.1210401</v>
      </c>
      <c r="BW964" s="32" t="s">
        <v>502</v>
      </c>
      <c r="BX964" s="32" t="s">
        <v>398</v>
      </c>
      <c r="BY964" s="32" t="s">
        <v>682</v>
      </c>
      <c r="BZ964" s="32">
        <v>1210401</v>
      </c>
      <c r="CA964" s="356">
        <v>1101</v>
      </c>
    </row>
    <row r="965" spans="74:79" x14ac:dyDescent="0.25">
      <c r="BV965" s="255" t="str">
        <f t="shared" si="152"/>
        <v>D.LM.8_14S.1210401</v>
      </c>
      <c r="BW965" s="32" t="s">
        <v>502</v>
      </c>
      <c r="BX965" s="32" t="s">
        <v>398</v>
      </c>
      <c r="BY965" s="32" t="s">
        <v>678</v>
      </c>
      <c r="BZ965" s="32">
        <v>1210401</v>
      </c>
      <c r="CA965" s="356">
        <v>1152</v>
      </c>
    </row>
    <row r="966" spans="74:79" x14ac:dyDescent="0.25">
      <c r="BV966" s="255" t="str">
        <f t="shared" si="152"/>
        <v>D.LM.10_12T.1210401</v>
      </c>
      <c r="BW966" s="32" t="s">
        <v>502</v>
      </c>
      <c r="BX966" s="32" t="s">
        <v>398</v>
      </c>
      <c r="BY966" s="32" t="s">
        <v>713</v>
      </c>
      <c r="BZ966" s="32">
        <v>1210401</v>
      </c>
      <c r="CA966" s="356">
        <v>1330</v>
      </c>
    </row>
    <row r="967" spans="74:79" x14ac:dyDescent="0.25">
      <c r="BV967" s="255" t="str">
        <f t="shared" si="152"/>
        <v>D.LM.10_13T.1210401</v>
      </c>
      <c r="BW967" s="32" t="s">
        <v>502</v>
      </c>
      <c r="BX967" s="32" t="s">
        <v>398</v>
      </c>
      <c r="BY967" s="32" t="s">
        <v>715</v>
      </c>
      <c r="BZ967" s="32">
        <v>1210401</v>
      </c>
      <c r="CA967" s="356">
        <v>1341</v>
      </c>
    </row>
    <row r="968" spans="74:79" x14ac:dyDescent="0.25">
      <c r="BV968" s="255" t="str">
        <f t="shared" si="152"/>
        <v>D.LM.10_14T.1210401</v>
      </c>
      <c r="BW968" s="32" t="s">
        <v>502</v>
      </c>
      <c r="BX968" s="32" t="s">
        <v>398</v>
      </c>
      <c r="BY968" s="32" t="s">
        <v>718</v>
      </c>
      <c r="BZ968" s="32">
        <v>1210401</v>
      </c>
      <c r="CA968" s="356">
        <v>1467</v>
      </c>
    </row>
    <row r="969" spans="74:79" x14ac:dyDescent="0.25">
      <c r="BV969" s="255" t="str">
        <f t="shared" si="152"/>
        <v>D.LM.11_12T.1210401</v>
      </c>
      <c r="BW969" s="32" t="s">
        <v>502</v>
      </c>
      <c r="BX969" s="32" t="s">
        <v>398</v>
      </c>
      <c r="BY969" s="32" t="s">
        <v>714</v>
      </c>
      <c r="BZ969" s="32">
        <v>1210401</v>
      </c>
      <c r="CA969" s="356">
        <v>1330</v>
      </c>
    </row>
    <row r="970" spans="74:79" x14ac:dyDescent="0.25">
      <c r="BV970" s="255" t="str">
        <f t="shared" si="152"/>
        <v>D.LM.11_13T.1210401</v>
      </c>
      <c r="BW970" s="32" t="s">
        <v>502</v>
      </c>
      <c r="BX970" s="32" t="s">
        <v>398</v>
      </c>
      <c r="BY970" s="32" t="s">
        <v>716</v>
      </c>
      <c r="BZ970" s="32">
        <v>1210401</v>
      </c>
      <c r="CA970" s="356">
        <v>1341</v>
      </c>
    </row>
    <row r="971" spans="74:79" x14ac:dyDescent="0.25">
      <c r="BV971" s="255" t="str">
        <f t="shared" si="152"/>
        <v>D.LM.11_14T.1210401</v>
      </c>
      <c r="BW971" s="32" t="s">
        <v>502</v>
      </c>
      <c r="BX971" s="32" t="s">
        <v>398</v>
      </c>
      <c r="BY971" s="32" t="s">
        <v>719</v>
      </c>
      <c r="BZ971" s="32">
        <v>1210401</v>
      </c>
      <c r="CA971" s="356">
        <v>1467</v>
      </c>
    </row>
    <row r="972" spans="74:79" x14ac:dyDescent="0.25">
      <c r="BV972" s="255" t="str">
        <f t="shared" si="152"/>
        <v>D.LM.12_13T.1210401</v>
      </c>
      <c r="BW972" s="32" t="s">
        <v>502</v>
      </c>
      <c r="BX972" s="32" t="s">
        <v>398</v>
      </c>
      <c r="BY972" s="32" t="s">
        <v>717</v>
      </c>
      <c r="BZ972" s="32">
        <v>1210401</v>
      </c>
      <c r="CA972" s="356">
        <v>1341</v>
      </c>
    </row>
    <row r="973" spans="74:79" x14ac:dyDescent="0.25">
      <c r="BV973" s="255" t="str">
        <f t="shared" si="152"/>
        <v>D.LM.12_14T.1210401</v>
      </c>
      <c r="BW973" s="32" t="s">
        <v>502</v>
      </c>
      <c r="BX973" s="32" t="s">
        <v>398</v>
      </c>
      <c r="BY973" s="32" t="s">
        <v>720</v>
      </c>
      <c r="BZ973" s="32">
        <v>1210401</v>
      </c>
      <c r="CA973" s="356">
        <v>1467</v>
      </c>
    </row>
    <row r="974" spans="74:79" x14ac:dyDescent="0.25">
      <c r="BV974" s="255" t="str">
        <f t="shared" si="152"/>
        <v>D.LM.12_15T.1210401</v>
      </c>
      <c r="BW974" s="32" t="s">
        <v>502</v>
      </c>
      <c r="BX974" s="32" t="s">
        <v>398</v>
      </c>
      <c r="BY974" s="32" t="s">
        <v>723</v>
      </c>
      <c r="BZ974" s="32">
        <v>1210401</v>
      </c>
      <c r="CA974" s="356">
        <v>1530</v>
      </c>
    </row>
    <row r="975" spans="74:79" x14ac:dyDescent="0.25">
      <c r="BV975" s="255" t="str">
        <f t="shared" si="152"/>
        <v>D.LM.13_14T.1210401</v>
      </c>
      <c r="BW975" s="32" t="s">
        <v>502</v>
      </c>
      <c r="BX975" s="32" t="s">
        <v>398</v>
      </c>
      <c r="BY975" s="32" t="s">
        <v>721</v>
      </c>
      <c r="BZ975" s="32">
        <v>1210401</v>
      </c>
      <c r="CA975" s="356">
        <v>1467</v>
      </c>
    </row>
    <row r="976" spans="74:79" x14ac:dyDescent="0.25">
      <c r="BV976" s="255" t="str">
        <f t="shared" si="152"/>
        <v>D.LM.13_15T.1210401</v>
      </c>
      <c r="BW976" s="32" t="s">
        <v>502</v>
      </c>
      <c r="BX976" s="32" t="s">
        <v>398</v>
      </c>
      <c r="BY976" s="32" t="s">
        <v>724</v>
      </c>
      <c r="BZ976" s="32">
        <v>1210401</v>
      </c>
      <c r="CA976" s="356">
        <v>1530</v>
      </c>
    </row>
    <row r="977" spans="74:79" x14ac:dyDescent="0.25">
      <c r="BV977" s="255" t="str">
        <f t="shared" si="152"/>
        <v>D.LM.13_16T.1210401</v>
      </c>
      <c r="BW977" s="32" t="s">
        <v>502</v>
      </c>
      <c r="BX977" s="32" t="s">
        <v>398</v>
      </c>
      <c r="BY977" s="32" t="s">
        <v>726</v>
      </c>
      <c r="BZ977" s="32">
        <v>1210401</v>
      </c>
      <c r="CA977" s="356">
        <v>1609</v>
      </c>
    </row>
    <row r="978" spans="74:79" x14ac:dyDescent="0.25">
      <c r="BV978" s="255" t="str">
        <f t="shared" si="152"/>
        <v>D.LM.14_14T.1210401</v>
      </c>
      <c r="BW978" s="32" t="s">
        <v>502</v>
      </c>
      <c r="BX978" s="32" t="s">
        <v>398</v>
      </c>
      <c r="BY978" s="32" t="s">
        <v>722</v>
      </c>
      <c r="BZ978" s="32">
        <v>1210401</v>
      </c>
      <c r="CA978" s="356">
        <v>1467</v>
      </c>
    </row>
    <row r="979" spans="74:79" x14ac:dyDescent="0.25">
      <c r="BV979" s="255" t="str">
        <f t="shared" si="152"/>
        <v>D.LM.14_15T.1210401</v>
      </c>
      <c r="BW979" s="32" t="s">
        <v>502</v>
      </c>
      <c r="BX979" s="32" t="s">
        <v>398</v>
      </c>
      <c r="BY979" s="32" t="s">
        <v>725</v>
      </c>
      <c r="BZ979" s="32">
        <v>1210401</v>
      </c>
      <c r="CA979" s="356">
        <v>1530</v>
      </c>
    </row>
    <row r="980" spans="74:79" x14ac:dyDescent="0.25">
      <c r="BV980" s="255" t="str">
        <f t="shared" si="152"/>
        <v>D.LM.14_16T.1210401</v>
      </c>
      <c r="BW980" s="32" t="s">
        <v>502</v>
      </c>
      <c r="BX980" s="32" t="s">
        <v>398</v>
      </c>
      <c r="BY980" s="32" t="s">
        <v>727</v>
      </c>
      <c r="BZ980" s="32">
        <v>1210401</v>
      </c>
      <c r="CA980" s="356">
        <v>1609</v>
      </c>
    </row>
    <row r="981" spans="74:79" x14ac:dyDescent="0.25">
      <c r="BV981" s="255" t="str">
        <f t="shared" si="152"/>
        <v>D.LM.15_16T.1210401</v>
      </c>
      <c r="BW981" s="32" t="s">
        <v>502</v>
      </c>
      <c r="BX981" s="32" t="s">
        <v>398</v>
      </c>
      <c r="BY981" s="32" t="s">
        <v>728</v>
      </c>
      <c r="BZ981" s="32">
        <v>1210401</v>
      </c>
      <c r="CA981" s="356">
        <v>1609</v>
      </c>
    </row>
    <row r="982" spans="74:79" x14ac:dyDescent="0.25">
      <c r="BV982" s="255" t="str">
        <f t="shared" ref="BV982:BV1045" si="153">CONCATENATE(BW982,".",BX982,".",BY982,".",BZ982)</f>
        <v>D.LM.16_16T.1210401</v>
      </c>
      <c r="BW982" s="32" t="s">
        <v>502</v>
      </c>
      <c r="BX982" s="32" t="s">
        <v>398</v>
      </c>
      <c r="BY982" s="32" t="s">
        <v>729</v>
      </c>
      <c r="BZ982" s="32">
        <v>1210401</v>
      </c>
      <c r="CA982" s="356">
        <v>1609</v>
      </c>
    </row>
    <row r="983" spans="74:79" x14ac:dyDescent="0.25">
      <c r="BV983" s="255" t="str">
        <f t="shared" si="153"/>
        <v>D.LM.7_10T.1210401</v>
      </c>
      <c r="BW983" s="32" t="s">
        <v>502</v>
      </c>
      <c r="BX983" s="32" t="s">
        <v>398</v>
      </c>
      <c r="BY983" s="32" t="s">
        <v>668</v>
      </c>
      <c r="BZ983" s="32">
        <v>1210401</v>
      </c>
      <c r="CA983" s="356">
        <v>1446</v>
      </c>
    </row>
    <row r="984" spans="74:79" x14ac:dyDescent="0.25">
      <c r="BV984" s="255" t="str">
        <f t="shared" si="153"/>
        <v>D.LM.7H_10T.1210401</v>
      </c>
      <c r="BW984" s="32" t="s">
        <v>502</v>
      </c>
      <c r="BX984" s="32" t="s">
        <v>398</v>
      </c>
      <c r="BY984" s="32" t="s">
        <v>674</v>
      </c>
      <c r="BZ984" s="32">
        <v>1210401</v>
      </c>
      <c r="CA984" s="356">
        <v>1446</v>
      </c>
    </row>
    <row r="985" spans="74:79" x14ac:dyDescent="0.25">
      <c r="BV985" s="255" t="str">
        <f t="shared" si="153"/>
        <v>D.LM.8_10T.1210401</v>
      </c>
      <c r="BW985" s="32" t="s">
        <v>502</v>
      </c>
      <c r="BX985" s="32" t="s">
        <v>398</v>
      </c>
      <c r="BY985" s="32" t="s">
        <v>669</v>
      </c>
      <c r="BZ985" s="32">
        <v>1210401</v>
      </c>
      <c r="CA985" s="356">
        <v>1446</v>
      </c>
    </row>
    <row r="986" spans="74:79" x14ac:dyDescent="0.25">
      <c r="BV986" s="255" t="str">
        <f t="shared" si="153"/>
        <v>D.LM.8_12T.1210401</v>
      </c>
      <c r="BW986" s="32" t="s">
        <v>502</v>
      </c>
      <c r="BX986" s="32" t="s">
        <v>398</v>
      </c>
      <c r="BY986" s="32" t="s">
        <v>671</v>
      </c>
      <c r="BZ986" s="32">
        <v>1210401</v>
      </c>
      <c r="CA986" s="356">
        <v>1330</v>
      </c>
    </row>
    <row r="987" spans="74:79" x14ac:dyDescent="0.25">
      <c r="BV987" s="255" t="str">
        <f t="shared" si="153"/>
        <v>D.LM.9_10T.1210401</v>
      </c>
      <c r="BW987" s="32" t="s">
        <v>502</v>
      </c>
      <c r="BX987" s="32" t="s">
        <v>398</v>
      </c>
      <c r="BY987" s="32" t="s">
        <v>670</v>
      </c>
      <c r="BZ987" s="32">
        <v>1210401</v>
      </c>
      <c r="CA987" s="356">
        <v>1446</v>
      </c>
    </row>
    <row r="988" spans="74:79" x14ac:dyDescent="0.25">
      <c r="BV988" s="255" t="str">
        <f t="shared" si="153"/>
        <v>D.LM.9_12T.1210401</v>
      </c>
      <c r="BW988" s="32" t="s">
        <v>502</v>
      </c>
      <c r="BX988" s="32" t="s">
        <v>398</v>
      </c>
      <c r="BY988" s="32" t="s">
        <v>672</v>
      </c>
      <c r="BZ988" s="32">
        <v>1210401</v>
      </c>
      <c r="CA988" s="356">
        <v>1330</v>
      </c>
    </row>
    <row r="989" spans="74:79" x14ac:dyDescent="0.25">
      <c r="BV989" s="255" t="str">
        <f t="shared" si="153"/>
        <v>D.LM.9_13T.1210401</v>
      </c>
      <c r="BW989" s="32" t="s">
        <v>502</v>
      </c>
      <c r="BX989" s="32" t="s">
        <v>398</v>
      </c>
      <c r="BY989" s="32" t="s">
        <v>673</v>
      </c>
      <c r="BZ989" s="32">
        <v>1210401</v>
      </c>
      <c r="CA989" s="356">
        <v>1341</v>
      </c>
    </row>
    <row r="990" spans="74:79" x14ac:dyDescent="0.25">
      <c r="BV990" s="255" t="str">
        <f t="shared" si="153"/>
        <v>D.LM.9_14T.1210401</v>
      </c>
      <c r="BW990" s="32" t="s">
        <v>502</v>
      </c>
      <c r="BX990" s="32" t="s">
        <v>398</v>
      </c>
      <c r="BY990" s="32" t="s">
        <v>737</v>
      </c>
      <c r="BZ990" s="32">
        <v>1210401</v>
      </c>
      <c r="CA990" s="356">
        <v>1467</v>
      </c>
    </row>
    <row r="991" spans="74:79" x14ac:dyDescent="0.25">
      <c r="BV991" s="255" t="str">
        <f t="shared" si="153"/>
        <v>D.LO.12_18B.1210401</v>
      </c>
      <c r="BW991" s="32" t="s">
        <v>502</v>
      </c>
      <c r="BX991" s="32" t="s">
        <v>732</v>
      </c>
      <c r="BY991" s="34" t="s">
        <v>683</v>
      </c>
      <c r="BZ991" s="32">
        <v>1210401</v>
      </c>
      <c r="CA991" s="354">
        <v>1620</v>
      </c>
    </row>
    <row r="992" spans="74:79" x14ac:dyDescent="0.25">
      <c r="BV992" s="255" t="str">
        <f t="shared" si="153"/>
        <v>D.LO.12_20B.1210401</v>
      </c>
      <c r="BW992" s="32" t="s">
        <v>502</v>
      </c>
      <c r="BX992" s="32" t="s">
        <v>732</v>
      </c>
      <c r="BY992" s="32" t="s">
        <v>686</v>
      </c>
      <c r="BZ992" s="32">
        <v>1210401</v>
      </c>
      <c r="CA992" s="354">
        <v>1684</v>
      </c>
    </row>
    <row r="993" spans="74:79" x14ac:dyDescent="0.25">
      <c r="BV993" s="255" t="str">
        <f t="shared" si="153"/>
        <v>D.LO.12_22B.1210401</v>
      </c>
      <c r="BW993" s="32" t="s">
        <v>502</v>
      </c>
      <c r="BX993" s="32" t="s">
        <v>732</v>
      </c>
      <c r="BY993" s="32" t="s">
        <v>690</v>
      </c>
      <c r="BZ993" s="32">
        <v>1210401</v>
      </c>
      <c r="CA993" s="354">
        <v>1729</v>
      </c>
    </row>
    <row r="994" spans="74:79" x14ac:dyDescent="0.25">
      <c r="BV994" s="255" t="str">
        <f t="shared" si="153"/>
        <v>D.LO.12_24B.1210401</v>
      </c>
      <c r="BW994" s="32" t="s">
        <v>502</v>
      </c>
      <c r="BX994" s="32" t="s">
        <v>732</v>
      </c>
      <c r="BY994" s="32" t="s">
        <v>695</v>
      </c>
      <c r="BZ994" s="32">
        <v>1210401</v>
      </c>
      <c r="CA994" s="354">
        <v>1798</v>
      </c>
    </row>
    <row r="995" spans="74:79" x14ac:dyDescent="0.25">
      <c r="BV995" s="255" t="str">
        <f t="shared" si="153"/>
        <v>D.LO.12_26B.1210401</v>
      </c>
      <c r="BW995" s="32" t="s">
        <v>502</v>
      </c>
      <c r="BX995" s="32" t="s">
        <v>732</v>
      </c>
      <c r="BY995" s="32" t="s">
        <v>700</v>
      </c>
      <c r="BZ995" s="32">
        <v>1210401</v>
      </c>
      <c r="CA995" s="354">
        <v>1809</v>
      </c>
    </row>
    <row r="996" spans="74:79" x14ac:dyDescent="0.25">
      <c r="BV996" s="255" t="str">
        <f t="shared" si="153"/>
        <v>D.LO.14_18B.1210401</v>
      </c>
      <c r="BW996" s="32" t="s">
        <v>502</v>
      </c>
      <c r="BX996" s="32" t="s">
        <v>732</v>
      </c>
      <c r="BY996" s="32" t="s">
        <v>684</v>
      </c>
      <c r="BZ996" s="32">
        <v>1210401</v>
      </c>
      <c r="CA996" s="354">
        <v>1620</v>
      </c>
    </row>
    <row r="997" spans="74:79" x14ac:dyDescent="0.25">
      <c r="BV997" s="255" t="str">
        <f t="shared" si="153"/>
        <v>D.LO.14_20B.1210401</v>
      </c>
      <c r="BW997" s="32" t="s">
        <v>502</v>
      </c>
      <c r="BX997" s="32" t="s">
        <v>732</v>
      </c>
      <c r="BY997" s="32" t="s">
        <v>687</v>
      </c>
      <c r="BZ997" s="32">
        <v>1210401</v>
      </c>
      <c r="CA997" s="354">
        <v>1684</v>
      </c>
    </row>
    <row r="998" spans="74:79" x14ac:dyDescent="0.25">
      <c r="BV998" s="255" t="str">
        <f t="shared" si="153"/>
        <v>D.LO.14_22B.1210401</v>
      </c>
      <c r="BW998" s="32" t="s">
        <v>502</v>
      </c>
      <c r="BX998" s="32" t="s">
        <v>732</v>
      </c>
      <c r="BY998" s="32" t="s">
        <v>691</v>
      </c>
      <c r="BZ998" s="32">
        <v>1210401</v>
      </c>
      <c r="CA998" s="354">
        <v>1729</v>
      </c>
    </row>
    <row r="999" spans="74:79" x14ac:dyDescent="0.25">
      <c r="BV999" s="255" t="str">
        <f t="shared" si="153"/>
        <v>D.LO.14_24B.1210401</v>
      </c>
      <c r="BW999" s="32" t="s">
        <v>502</v>
      </c>
      <c r="BX999" s="32" t="s">
        <v>732</v>
      </c>
      <c r="BY999" s="32" t="s">
        <v>696</v>
      </c>
      <c r="BZ999" s="32">
        <v>1210401</v>
      </c>
      <c r="CA999" s="354">
        <v>1798</v>
      </c>
    </row>
    <row r="1000" spans="74:79" x14ac:dyDescent="0.25">
      <c r="BV1000" s="255" t="str">
        <f t="shared" si="153"/>
        <v>D.LO.14_26B.1210401</v>
      </c>
      <c r="BW1000" s="32" t="s">
        <v>502</v>
      </c>
      <c r="BX1000" s="32" t="s">
        <v>732</v>
      </c>
      <c r="BY1000" s="32" t="s">
        <v>701</v>
      </c>
      <c r="BZ1000" s="32">
        <v>1210401</v>
      </c>
      <c r="CA1000" s="354">
        <v>1809</v>
      </c>
    </row>
    <row r="1001" spans="74:79" x14ac:dyDescent="0.25">
      <c r="BV1001" s="255" t="str">
        <f t="shared" si="153"/>
        <v>D.LO.16_18B.1210401</v>
      </c>
      <c r="BW1001" s="32" t="s">
        <v>502</v>
      </c>
      <c r="BX1001" s="32" t="s">
        <v>732</v>
      </c>
      <c r="BY1001" s="32" t="s">
        <v>685</v>
      </c>
      <c r="BZ1001" s="32">
        <v>1210401</v>
      </c>
      <c r="CA1001" s="354">
        <v>1620</v>
      </c>
    </row>
    <row r="1002" spans="74:79" x14ac:dyDescent="0.25">
      <c r="BV1002" s="255" t="str">
        <f t="shared" si="153"/>
        <v>D.LO.16_20B.1210401</v>
      </c>
      <c r="BW1002" s="32" t="s">
        <v>502</v>
      </c>
      <c r="BX1002" s="32" t="s">
        <v>732</v>
      </c>
      <c r="BY1002" s="32" t="s">
        <v>688</v>
      </c>
      <c r="BZ1002" s="32">
        <v>1210401</v>
      </c>
      <c r="CA1002" s="354">
        <v>1684</v>
      </c>
    </row>
    <row r="1003" spans="74:79" x14ac:dyDescent="0.25">
      <c r="BV1003" s="255" t="str">
        <f t="shared" si="153"/>
        <v>D.LO.16_22B.1210401</v>
      </c>
      <c r="BW1003" s="32" t="s">
        <v>502</v>
      </c>
      <c r="BX1003" s="32" t="s">
        <v>732</v>
      </c>
      <c r="BY1003" s="32" t="s">
        <v>692</v>
      </c>
      <c r="BZ1003" s="32">
        <v>1210401</v>
      </c>
      <c r="CA1003" s="354">
        <v>1729</v>
      </c>
    </row>
    <row r="1004" spans="74:79" x14ac:dyDescent="0.25">
      <c r="BV1004" s="255" t="str">
        <f t="shared" si="153"/>
        <v>D.LO.16_24B.1210401</v>
      </c>
      <c r="BW1004" s="32" t="s">
        <v>502</v>
      </c>
      <c r="BX1004" s="32" t="s">
        <v>732</v>
      </c>
      <c r="BY1004" s="32" t="s">
        <v>697</v>
      </c>
      <c r="BZ1004" s="32">
        <v>1210401</v>
      </c>
      <c r="CA1004" s="354">
        <v>1798</v>
      </c>
    </row>
    <row r="1005" spans="74:79" x14ac:dyDescent="0.25">
      <c r="BV1005" s="255" t="str">
        <f t="shared" si="153"/>
        <v>D.LO.16_26B.1210401</v>
      </c>
      <c r="BW1005" s="32" t="s">
        <v>502</v>
      </c>
      <c r="BX1005" s="32" t="s">
        <v>732</v>
      </c>
      <c r="BY1005" s="32" t="s">
        <v>702</v>
      </c>
      <c r="BZ1005" s="32">
        <v>1210401</v>
      </c>
      <c r="CA1005" s="354">
        <v>1809</v>
      </c>
    </row>
    <row r="1006" spans="74:79" x14ac:dyDescent="0.25">
      <c r="BV1006" s="255" t="str">
        <f t="shared" si="153"/>
        <v>D.LO.18_20B.1210401</v>
      </c>
      <c r="BW1006" s="32" t="s">
        <v>502</v>
      </c>
      <c r="BX1006" s="32" t="s">
        <v>732</v>
      </c>
      <c r="BY1006" s="32" t="s">
        <v>689</v>
      </c>
      <c r="BZ1006" s="32">
        <v>1210401</v>
      </c>
      <c r="CA1006" s="354">
        <v>1684</v>
      </c>
    </row>
    <row r="1007" spans="74:79" x14ac:dyDescent="0.25">
      <c r="BV1007" s="255" t="str">
        <f t="shared" si="153"/>
        <v>D.LO.18_22B.1210401</v>
      </c>
      <c r="BW1007" s="32" t="s">
        <v>502</v>
      </c>
      <c r="BX1007" s="32" t="s">
        <v>732</v>
      </c>
      <c r="BY1007" s="32" t="s">
        <v>693</v>
      </c>
      <c r="BZ1007" s="32">
        <v>1210401</v>
      </c>
      <c r="CA1007" s="354">
        <v>1729</v>
      </c>
    </row>
    <row r="1008" spans="74:79" x14ac:dyDescent="0.25">
      <c r="BV1008" s="255" t="str">
        <f t="shared" si="153"/>
        <v>D.LO.18_24B.1210401</v>
      </c>
      <c r="BW1008" s="32" t="s">
        <v>502</v>
      </c>
      <c r="BX1008" s="32" t="s">
        <v>732</v>
      </c>
      <c r="BY1008" s="32" t="s">
        <v>698</v>
      </c>
      <c r="BZ1008" s="32">
        <v>1210401</v>
      </c>
      <c r="CA1008" s="354">
        <v>1798</v>
      </c>
    </row>
    <row r="1009" spans="74:79" x14ac:dyDescent="0.25">
      <c r="BV1009" s="255" t="str">
        <f t="shared" si="153"/>
        <v>D.LO.20_22B.1210401</v>
      </c>
      <c r="BW1009" s="32" t="s">
        <v>502</v>
      </c>
      <c r="BX1009" s="32" t="s">
        <v>732</v>
      </c>
      <c r="BY1009" s="32" t="s">
        <v>694</v>
      </c>
      <c r="BZ1009" s="32">
        <v>1210401</v>
      </c>
      <c r="CA1009" s="354">
        <v>1729</v>
      </c>
    </row>
    <row r="1010" spans="74:79" x14ac:dyDescent="0.25">
      <c r="BV1010" s="255" t="str">
        <f t="shared" si="153"/>
        <v>D.LO.20_24B.1210401</v>
      </c>
      <c r="BW1010" s="32" t="s">
        <v>502</v>
      </c>
      <c r="BX1010" s="32" t="s">
        <v>732</v>
      </c>
      <c r="BY1010" s="32" t="s">
        <v>699</v>
      </c>
      <c r="BZ1010" s="32">
        <v>1210401</v>
      </c>
      <c r="CA1010" s="354">
        <v>1794</v>
      </c>
    </row>
    <row r="1011" spans="74:79" x14ac:dyDescent="0.25">
      <c r="BV1011" s="255" t="str">
        <f t="shared" si="153"/>
        <v>D.LO.12_14F.1210401</v>
      </c>
      <c r="BW1011" s="32" t="s">
        <v>502</v>
      </c>
      <c r="BX1011" s="32" t="s">
        <v>732</v>
      </c>
      <c r="BY1011" s="32" t="s">
        <v>703</v>
      </c>
      <c r="BZ1011" s="32">
        <v>1210401</v>
      </c>
      <c r="CA1011" s="354">
        <v>898</v>
      </c>
    </row>
    <row r="1012" spans="74:79" x14ac:dyDescent="0.25">
      <c r="BV1012" s="255" t="str">
        <f t="shared" si="153"/>
        <v>D.LO.13_14F.1210401</v>
      </c>
      <c r="BW1012" s="32" t="s">
        <v>502</v>
      </c>
      <c r="BX1012" s="32" t="s">
        <v>732</v>
      </c>
      <c r="BY1012" s="32" t="s">
        <v>704</v>
      </c>
      <c r="BZ1012" s="32">
        <v>1210401</v>
      </c>
      <c r="CA1012" s="354">
        <v>898</v>
      </c>
    </row>
    <row r="1013" spans="74:79" x14ac:dyDescent="0.25">
      <c r="BV1013" s="255" t="str">
        <f t="shared" si="153"/>
        <v>D.LO.13_15F.1210401</v>
      </c>
      <c r="BW1013" s="32" t="s">
        <v>502</v>
      </c>
      <c r="BX1013" s="32" t="s">
        <v>732</v>
      </c>
      <c r="BY1013" s="32" t="s">
        <v>706</v>
      </c>
      <c r="BZ1013" s="32">
        <v>1210401</v>
      </c>
      <c r="CA1013" s="354">
        <v>930</v>
      </c>
    </row>
    <row r="1014" spans="74:79" x14ac:dyDescent="0.25">
      <c r="BV1014" s="255" t="str">
        <f t="shared" si="153"/>
        <v>D.LO.13_16F.1210401</v>
      </c>
      <c r="BW1014" s="32" t="s">
        <v>502</v>
      </c>
      <c r="BX1014" s="32" t="s">
        <v>732</v>
      </c>
      <c r="BY1014" s="32" t="s">
        <v>708</v>
      </c>
      <c r="BZ1014" s="32">
        <v>1210401</v>
      </c>
      <c r="CA1014" s="354">
        <v>953</v>
      </c>
    </row>
    <row r="1015" spans="74:79" x14ac:dyDescent="0.25">
      <c r="BV1015" s="255" t="str">
        <f t="shared" si="153"/>
        <v>D.LO.14_14F.1210401</v>
      </c>
      <c r="BW1015" s="32" t="s">
        <v>502</v>
      </c>
      <c r="BX1015" s="32" t="s">
        <v>732</v>
      </c>
      <c r="BY1015" s="32" t="s">
        <v>705</v>
      </c>
      <c r="BZ1015" s="32">
        <v>1210401</v>
      </c>
      <c r="CA1015" s="354">
        <v>898</v>
      </c>
    </row>
    <row r="1016" spans="74:79" x14ac:dyDescent="0.25">
      <c r="BV1016" s="255" t="str">
        <f t="shared" si="153"/>
        <v>D.LO.14_15F.1210401</v>
      </c>
      <c r="BW1016" s="32" t="s">
        <v>502</v>
      </c>
      <c r="BX1016" s="32" t="s">
        <v>732</v>
      </c>
      <c r="BY1016" s="32" t="s">
        <v>707</v>
      </c>
      <c r="BZ1016" s="32">
        <v>1210401</v>
      </c>
      <c r="CA1016" s="354">
        <v>930</v>
      </c>
    </row>
    <row r="1017" spans="74:79" x14ac:dyDescent="0.25">
      <c r="BV1017" s="255" t="str">
        <f t="shared" si="153"/>
        <v>D.LO.14_16F.1210401</v>
      </c>
      <c r="BW1017" s="32" t="s">
        <v>502</v>
      </c>
      <c r="BX1017" s="32" t="s">
        <v>732</v>
      </c>
      <c r="BY1017" s="32" t="s">
        <v>709</v>
      </c>
      <c r="BZ1017" s="32">
        <v>1210401</v>
      </c>
      <c r="CA1017" s="354">
        <v>953</v>
      </c>
    </row>
    <row r="1018" spans="74:79" x14ac:dyDescent="0.25">
      <c r="BV1018" s="255" t="str">
        <f t="shared" si="153"/>
        <v>D.LO.15_16F.1210401</v>
      </c>
      <c r="BW1018" s="32" t="s">
        <v>502</v>
      </c>
      <c r="BX1018" s="32" t="s">
        <v>732</v>
      </c>
      <c r="BY1018" s="32" t="s">
        <v>710</v>
      </c>
      <c r="BZ1018" s="32">
        <v>1210401</v>
      </c>
      <c r="CA1018" s="354">
        <v>953</v>
      </c>
    </row>
    <row r="1019" spans="74:79" x14ac:dyDescent="0.25">
      <c r="BV1019" s="255" t="str">
        <f t="shared" si="153"/>
        <v>D.LO.16_16F.1210401</v>
      </c>
      <c r="BW1019" s="32" t="s">
        <v>502</v>
      </c>
      <c r="BX1019" s="32" t="s">
        <v>732</v>
      </c>
      <c r="BY1019" s="32" t="s">
        <v>711</v>
      </c>
      <c r="BZ1019" s="32">
        <v>1210401</v>
      </c>
      <c r="CA1019" s="354">
        <v>953</v>
      </c>
    </row>
    <row r="1020" spans="74:79" x14ac:dyDescent="0.25">
      <c r="BV1020" s="255" t="str">
        <f t="shared" si="153"/>
        <v>D.LO.16_18F.1210401</v>
      </c>
      <c r="BW1020" s="32" t="s">
        <v>502</v>
      </c>
      <c r="BX1020" s="32" t="s">
        <v>732</v>
      </c>
      <c r="BY1020" s="32" t="s">
        <v>712</v>
      </c>
      <c r="BZ1020" s="32">
        <v>1210401</v>
      </c>
      <c r="CA1020" s="354">
        <v>1111</v>
      </c>
    </row>
    <row r="1021" spans="74:79" x14ac:dyDescent="0.25">
      <c r="BV1021" s="255" t="str">
        <f t="shared" si="153"/>
        <v>D.LO.10_14S.1210401</v>
      </c>
      <c r="BW1021" s="32" t="s">
        <v>502</v>
      </c>
      <c r="BX1021" s="32" t="s">
        <v>732</v>
      </c>
      <c r="BY1021" s="32" t="s">
        <v>733</v>
      </c>
      <c r="BZ1021" s="32">
        <v>1210401</v>
      </c>
      <c r="CA1021" s="354">
        <v>729</v>
      </c>
    </row>
    <row r="1022" spans="74:79" x14ac:dyDescent="0.25">
      <c r="BV1022" s="255" t="str">
        <f t="shared" si="153"/>
        <v>D.LO.3H_13S.1210401</v>
      </c>
      <c r="BW1022" s="32" t="s">
        <v>502</v>
      </c>
      <c r="BX1022" s="32" t="s">
        <v>732</v>
      </c>
      <c r="BY1022" s="32" t="s">
        <v>679</v>
      </c>
      <c r="BZ1022" s="32">
        <v>1210401</v>
      </c>
      <c r="CA1022" s="354">
        <v>659</v>
      </c>
    </row>
    <row r="1023" spans="74:79" x14ac:dyDescent="0.25">
      <c r="BV1023" s="255" t="str">
        <f t="shared" si="153"/>
        <v>D.LO.4_14S.1210401</v>
      </c>
      <c r="BW1023" s="32" t="s">
        <v>502</v>
      </c>
      <c r="BX1023" s="32" t="s">
        <v>732</v>
      </c>
      <c r="BY1023" s="32" t="s">
        <v>739</v>
      </c>
      <c r="BZ1023" s="32">
        <v>1210401</v>
      </c>
      <c r="CA1023" s="354">
        <v>679</v>
      </c>
    </row>
    <row r="1024" spans="74:79" x14ac:dyDescent="0.25">
      <c r="BV1024" s="255" t="str">
        <f t="shared" si="153"/>
        <v>D.LO.4_14x8S.1210401</v>
      </c>
      <c r="BW1024" s="32" t="s">
        <v>502</v>
      </c>
      <c r="BX1024" s="32" t="s">
        <v>732</v>
      </c>
      <c r="BY1024" s="32" t="s">
        <v>740</v>
      </c>
      <c r="BZ1024" s="32">
        <v>1210401</v>
      </c>
      <c r="CA1024" s="354">
        <v>669</v>
      </c>
    </row>
    <row r="1025" spans="74:79" x14ac:dyDescent="0.25">
      <c r="BV1025" s="255" t="str">
        <f t="shared" si="153"/>
        <v>D.LO.5_14S.1210401</v>
      </c>
      <c r="BW1025" s="32" t="s">
        <v>502</v>
      </c>
      <c r="BX1025" s="32" t="s">
        <v>732</v>
      </c>
      <c r="BY1025" s="32" t="s">
        <v>677</v>
      </c>
      <c r="BZ1025" s="32">
        <v>1210401</v>
      </c>
      <c r="CA1025" s="354">
        <v>679</v>
      </c>
    </row>
    <row r="1026" spans="74:79" x14ac:dyDescent="0.25">
      <c r="BV1026" s="255" t="str">
        <f t="shared" si="153"/>
        <v>D.LO.5_14x8S.1210401</v>
      </c>
      <c r="BW1026" s="32" t="s">
        <v>502</v>
      </c>
      <c r="BX1026" s="32" t="s">
        <v>732</v>
      </c>
      <c r="BY1026" s="32" t="s">
        <v>681</v>
      </c>
      <c r="BZ1026" s="32">
        <v>1210401</v>
      </c>
      <c r="CA1026" s="354">
        <v>669</v>
      </c>
    </row>
    <row r="1027" spans="74:79" x14ac:dyDescent="0.25">
      <c r="BV1027" s="255" t="str">
        <f t="shared" si="153"/>
        <v>D.LO.5H_14S.1210401</v>
      </c>
      <c r="BW1027" s="32" t="s">
        <v>502</v>
      </c>
      <c r="BX1027" s="32" t="s">
        <v>732</v>
      </c>
      <c r="BY1027" s="32" t="s">
        <v>1208</v>
      </c>
      <c r="BZ1027" s="32">
        <v>1210401</v>
      </c>
      <c r="CA1027" s="354">
        <v>679</v>
      </c>
    </row>
    <row r="1028" spans="74:79" x14ac:dyDescent="0.25">
      <c r="BV1028" s="255" t="str">
        <f t="shared" si="153"/>
        <v>D.LO.5H_14x8S.1210401</v>
      </c>
      <c r="BW1028" s="32" t="s">
        <v>502</v>
      </c>
      <c r="BX1028" s="32" t="s">
        <v>732</v>
      </c>
      <c r="BY1028" s="32" t="s">
        <v>1209</v>
      </c>
      <c r="BZ1028" s="32">
        <v>1210401</v>
      </c>
      <c r="CA1028" s="354">
        <v>669</v>
      </c>
    </row>
    <row r="1029" spans="74:79" x14ac:dyDescent="0.25">
      <c r="BV1029" s="255" t="str">
        <f t="shared" si="153"/>
        <v>D.LO.6_12S.1210401</v>
      </c>
      <c r="BW1029" s="32" t="s">
        <v>502</v>
      </c>
      <c r="BX1029" s="32" t="s">
        <v>732</v>
      </c>
      <c r="BY1029" s="32" t="s">
        <v>675</v>
      </c>
      <c r="BZ1029" s="32">
        <v>1210401</v>
      </c>
      <c r="CA1029" s="354">
        <v>659</v>
      </c>
    </row>
    <row r="1030" spans="74:79" x14ac:dyDescent="0.25">
      <c r="BV1030" s="255" t="str">
        <f t="shared" si="153"/>
        <v>D.LO.6_13S.1210401</v>
      </c>
      <c r="BW1030" s="32" t="s">
        <v>502</v>
      </c>
      <c r="BX1030" s="32" t="s">
        <v>732</v>
      </c>
      <c r="BY1030" s="32" t="s">
        <v>676</v>
      </c>
      <c r="BZ1030" s="32">
        <v>1210401</v>
      </c>
      <c r="CA1030" s="354">
        <v>659</v>
      </c>
    </row>
    <row r="1031" spans="74:79" x14ac:dyDescent="0.25">
      <c r="BV1031" s="255" t="str">
        <f t="shared" si="153"/>
        <v>D.LO.6H_14S.1210401</v>
      </c>
      <c r="BW1031" s="32" t="s">
        <v>502</v>
      </c>
      <c r="BX1031" s="32" t="s">
        <v>732</v>
      </c>
      <c r="BY1031" s="32" t="s">
        <v>680</v>
      </c>
      <c r="BZ1031" s="32">
        <v>1210401</v>
      </c>
      <c r="CA1031" s="354">
        <v>679</v>
      </c>
    </row>
    <row r="1032" spans="74:79" x14ac:dyDescent="0.25">
      <c r="BV1032" s="255" t="str">
        <f t="shared" si="153"/>
        <v>D.LO.6H_14x8S.1210401</v>
      </c>
      <c r="BW1032" s="32" t="s">
        <v>502</v>
      </c>
      <c r="BX1032" s="32" t="s">
        <v>732</v>
      </c>
      <c r="BY1032" s="32" t="s">
        <v>682</v>
      </c>
      <c r="BZ1032" s="32">
        <v>1210401</v>
      </c>
      <c r="CA1032" s="354">
        <v>669</v>
      </c>
    </row>
    <row r="1033" spans="74:79" x14ac:dyDescent="0.25">
      <c r="BV1033" s="255" t="str">
        <f t="shared" si="153"/>
        <v>D.LO.8_14S.1210401</v>
      </c>
      <c r="BW1033" s="32" t="s">
        <v>502</v>
      </c>
      <c r="BX1033" s="32" t="s">
        <v>732</v>
      </c>
      <c r="BY1033" s="32" t="s">
        <v>678</v>
      </c>
      <c r="BZ1033" s="32">
        <v>1210401</v>
      </c>
      <c r="CA1033" s="354">
        <v>699</v>
      </c>
    </row>
    <row r="1034" spans="74:79" x14ac:dyDescent="0.25">
      <c r="BV1034" s="255" t="str">
        <f t="shared" si="153"/>
        <v>D.LO.10_12T.1210401</v>
      </c>
      <c r="BW1034" s="32" t="s">
        <v>502</v>
      </c>
      <c r="BX1034" s="32" t="s">
        <v>732</v>
      </c>
      <c r="BY1034" s="32" t="s">
        <v>713</v>
      </c>
      <c r="BZ1034" s="32">
        <v>1210401</v>
      </c>
      <c r="CA1034" s="354">
        <v>729</v>
      </c>
    </row>
    <row r="1035" spans="74:79" x14ac:dyDescent="0.25">
      <c r="BV1035" s="255" t="str">
        <f t="shared" si="153"/>
        <v>D.LO.10_13T.1210401</v>
      </c>
      <c r="BW1035" s="32" t="s">
        <v>502</v>
      </c>
      <c r="BX1035" s="32" t="s">
        <v>732</v>
      </c>
      <c r="BY1035" s="32" t="s">
        <v>715</v>
      </c>
      <c r="BZ1035" s="32">
        <v>1210401</v>
      </c>
      <c r="CA1035" s="354">
        <v>774</v>
      </c>
    </row>
    <row r="1036" spans="74:79" x14ac:dyDescent="0.25">
      <c r="BV1036" s="255" t="str">
        <f t="shared" si="153"/>
        <v>D.LO.10_14T.1210401</v>
      </c>
      <c r="BW1036" s="32" t="s">
        <v>502</v>
      </c>
      <c r="BX1036" s="32" t="s">
        <v>732</v>
      </c>
      <c r="BY1036" s="32" t="s">
        <v>718</v>
      </c>
      <c r="BZ1036" s="32">
        <v>1210401</v>
      </c>
      <c r="CA1036" s="354">
        <v>847</v>
      </c>
    </row>
    <row r="1037" spans="74:79" x14ac:dyDescent="0.25">
      <c r="BV1037" s="255" t="str">
        <f t="shared" si="153"/>
        <v>D.LO.11_12T.1210401</v>
      </c>
      <c r="BW1037" s="32" t="s">
        <v>502</v>
      </c>
      <c r="BX1037" s="32" t="s">
        <v>732</v>
      </c>
      <c r="BY1037" s="32" t="s">
        <v>714</v>
      </c>
      <c r="BZ1037" s="32">
        <v>1210401</v>
      </c>
      <c r="CA1037" s="354">
        <v>729</v>
      </c>
    </row>
    <row r="1038" spans="74:79" x14ac:dyDescent="0.25">
      <c r="BV1038" s="255" t="str">
        <f t="shared" si="153"/>
        <v>D.LO.11_13T.1210401</v>
      </c>
      <c r="BW1038" s="32" t="s">
        <v>502</v>
      </c>
      <c r="BX1038" s="32" t="s">
        <v>732</v>
      </c>
      <c r="BY1038" s="32" t="s">
        <v>716</v>
      </c>
      <c r="BZ1038" s="32">
        <v>1210401</v>
      </c>
      <c r="CA1038" s="354">
        <v>774</v>
      </c>
    </row>
    <row r="1039" spans="74:79" x14ac:dyDescent="0.25">
      <c r="BV1039" s="255" t="str">
        <f t="shared" si="153"/>
        <v>D.LO.11_14T.1210401</v>
      </c>
      <c r="BW1039" s="32" t="s">
        <v>502</v>
      </c>
      <c r="BX1039" s="32" t="s">
        <v>732</v>
      </c>
      <c r="BY1039" s="32" t="s">
        <v>719</v>
      </c>
      <c r="BZ1039" s="32">
        <v>1210401</v>
      </c>
      <c r="CA1039" s="354">
        <v>847</v>
      </c>
    </row>
    <row r="1040" spans="74:79" x14ac:dyDescent="0.25">
      <c r="BV1040" s="255" t="str">
        <f t="shared" si="153"/>
        <v>D.LO.12_13T.1210401</v>
      </c>
      <c r="BW1040" s="32" t="s">
        <v>502</v>
      </c>
      <c r="BX1040" s="32" t="s">
        <v>732</v>
      </c>
      <c r="BY1040" s="32" t="s">
        <v>717</v>
      </c>
      <c r="BZ1040" s="32">
        <v>1210401</v>
      </c>
      <c r="CA1040" s="354">
        <v>774</v>
      </c>
    </row>
    <row r="1041" spans="74:79" x14ac:dyDescent="0.25">
      <c r="BV1041" s="255" t="str">
        <f t="shared" si="153"/>
        <v>D.LO.12_14T.1210401</v>
      </c>
      <c r="BW1041" s="32" t="s">
        <v>502</v>
      </c>
      <c r="BX1041" s="32" t="s">
        <v>732</v>
      </c>
      <c r="BY1041" s="32" t="s">
        <v>720</v>
      </c>
      <c r="BZ1041" s="32">
        <v>1210401</v>
      </c>
      <c r="CA1041" s="354">
        <v>847</v>
      </c>
    </row>
    <row r="1042" spans="74:79" x14ac:dyDescent="0.25">
      <c r="BV1042" s="255" t="str">
        <f t="shared" si="153"/>
        <v>D.LO.12_15T.1210401</v>
      </c>
      <c r="BW1042" s="32" t="s">
        <v>502</v>
      </c>
      <c r="BX1042" s="32" t="s">
        <v>732</v>
      </c>
      <c r="BY1042" s="32" t="s">
        <v>723</v>
      </c>
      <c r="BZ1042" s="32">
        <v>1210401</v>
      </c>
      <c r="CA1042" s="354">
        <v>945</v>
      </c>
    </row>
    <row r="1043" spans="74:79" x14ac:dyDescent="0.25">
      <c r="BV1043" s="255" t="str">
        <f t="shared" si="153"/>
        <v>D.LO.13_14T.1210401</v>
      </c>
      <c r="BW1043" s="32" t="s">
        <v>502</v>
      </c>
      <c r="BX1043" s="32" t="s">
        <v>732</v>
      </c>
      <c r="BY1043" s="32" t="s">
        <v>721</v>
      </c>
      <c r="BZ1043" s="32">
        <v>1210401</v>
      </c>
      <c r="CA1043" s="354">
        <v>847</v>
      </c>
    </row>
    <row r="1044" spans="74:79" x14ac:dyDescent="0.25">
      <c r="BV1044" s="255" t="str">
        <f t="shared" si="153"/>
        <v>D.LO.13_15T.1210401</v>
      </c>
      <c r="BW1044" s="32" t="s">
        <v>502</v>
      </c>
      <c r="BX1044" s="32" t="s">
        <v>732</v>
      </c>
      <c r="BY1044" s="32" t="s">
        <v>724</v>
      </c>
      <c r="BZ1044" s="32">
        <v>1210401</v>
      </c>
      <c r="CA1044" s="354">
        <v>945</v>
      </c>
    </row>
    <row r="1045" spans="74:79" x14ac:dyDescent="0.25">
      <c r="BV1045" s="255" t="str">
        <f t="shared" si="153"/>
        <v>D.LO.14_14T.1210401</v>
      </c>
      <c r="BW1045" s="32" t="s">
        <v>502</v>
      </c>
      <c r="BX1045" s="32" t="s">
        <v>732</v>
      </c>
      <c r="BY1045" s="32" t="s">
        <v>722</v>
      </c>
      <c r="BZ1045" s="32">
        <v>1210401</v>
      </c>
      <c r="CA1045" s="354">
        <v>847</v>
      </c>
    </row>
    <row r="1046" spans="74:79" x14ac:dyDescent="0.25">
      <c r="BV1046" s="255" t="str">
        <f t="shared" ref="BV1046:BV1109" si="154">CONCATENATE(BW1046,".",BX1046,".",BY1046,".",BZ1046)</f>
        <v>D.LO.14_15T.1210401</v>
      </c>
      <c r="BW1046" s="32" t="s">
        <v>502</v>
      </c>
      <c r="BX1046" s="32" t="s">
        <v>732</v>
      </c>
      <c r="BY1046" s="32" t="s">
        <v>725</v>
      </c>
      <c r="BZ1046" s="32">
        <v>1210401</v>
      </c>
      <c r="CA1046" s="354">
        <v>945</v>
      </c>
    </row>
    <row r="1047" spans="74:79" x14ac:dyDescent="0.25">
      <c r="BV1047" s="255" t="str">
        <f t="shared" si="154"/>
        <v>D.LO.14_16T.1210401</v>
      </c>
      <c r="BW1047" s="32" t="s">
        <v>502</v>
      </c>
      <c r="BX1047" s="32" t="s">
        <v>732</v>
      </c>
      <c r="BY1047" s="32" t="s">
        <v>727</v>
      </c>
      <c r="BZ1047" s="32">
        <v>1210401</v>
      </c>
      <c r="CA1047" s="354">
        <v>945</v>
      </c>
    </row>
    <row r="1048" spans="74:79" x14ac:dyDescent="0.25">
      <c r="BV1048" s="255" t="str">
        <f t="shared" si="154"/>
        <v>D.LO.16_16T.1210401</v>
      </c>
      <c r="BW1048" s="32" t="s">
        <v>502</v>
      </c>
      <c r="BX1048" s="32" t="s">
        <v>732</v>
      </c>
      <c r="BY1048" s="32" t="s">
        <v>729</v>
      </c>
      <c r="BZ1048" s="32">
        <v>1210401</v>
      </c>
      <c r="CA1048" s="354">
        <v>945</v>
      </c>
    </row>
    <row r="1049" spans="74:79" x14ac:dyDescent="0.25">
      <c r="BV1049" s="255" t="str">
        <f t="shared" si="154"/>
        <v>D.LO.7_10T.1210401</v>
      </c>
      <c r="BW1049" s="32" t="s">
        <v>502</v>
      </c>
      <c r="BX1049" s="32" t="s">
        <v>732</v>
      </c>
      <c r="BY1049" s="32" t="s">
        <v>668</v>
      </c>
      <c r="BZ1049" s="32">
        <v>1210401</v>
      </c>
      <c r="CA1049" s="354">
        <v>706</v>
      </c>
    </row>
    <row r="1050" spans="74:79" x14ac:dyDescent="0.25">
      <c r="BV1050" s="255" t="str">
        <f t="shared" si="154"/>
        <v>D.LO.7_8T.1210401</v>
      </c>
      <c r="BW1050" s="32" t="s">
        <v>502</v>
      </c>
      <c r="BX1050" s="32" t="s">
        <v>732</v>
      </c>
      <c r="BY1050" s="32" t="s">
        <v>666</v>
      </c>
      <c r="BZ1050" s="32">
        <v>1210401</v>
      </c>
      <c r="CA1050" s="354">
        <v>575</v>
      </c>
    </row>
    <row r="1051" spans="74:79" x14ac:dyDescent="0.25">
      <c r="BV1051" s="255" t="str">
        <f t="shared" si="154"/>
        <v>D.LO.7H_10T.1210401</v>
      </c>
      <c r="BW1051" s="32" t="s">
        <v>502</v>
      </c>
      <c r="BX1051" s="32" t="s">
        <v>732</v>
      </c>
      <c r="BY1051" s="32" t="s">
        <v>674</v>
      </c>
      <c r="BZ1051" s="32">
        <v>1210401</v>
      </c>
      <c r="CA1051" s="354">
        <v>706</v>
      </c>
    </row>
    <row r="1052" spans="74:79" x14ac:dyDescent="0.25">
      <c r="BV1052" s="255" t="str">
        <f t="shared" si="154"/>
        <v>D.LO.8_10T.1210401</v>
      </c>
      <c r="BW1052" s="32" t="s">
        <v>502</v>
      </c>
      <c r="BX1052" s="32" t="s">
        <v>732</v>
      </c>
      <c r="BY1052" s="32" t="s">
        <v>669</v>
      </c>
      <c r="BZ1052" s="32">
        <v>1210401</v>
      </c>
      <c r="CA1052" s="354">
        <v>706</v>
      </c>
    </row>
    <row r="1053" spans="74:79" x14ac:dyDescent="0.25">
      <c r="BV1053" s="255" t="str">
        <f t="shared" si="154"/>
        <v>D.LO.8_12T.1210401</v>
      </c>
      <c r="BW1053" s="32" t="s">
        <v>502</v>
      </c>
      <c r="BX1053" s="32" t="s">
        <v>732</v>
      </c>
      <c r="BY1053" s="32" t="s">
        <v>671</v>
      </c>
      <c r="BZ1053" s="32">
        <v>1210401</v>
      </c>
      <c r="CA1053" s="354">
        <v>729</v>
      </c>
    </row>
    <row r="1054" spans="74:79" x14ac:dyDescent="0.25">
      <c r="BV1054" s="255" t="str">
        <f t="shared" si="154"/>
        <v>D.LO.8_8T.1210401</v>
      </c>
      <c r="BW1054" s="32" t="s">
        <v>502</v>
      </c>
      <c r="BX1054" s="32" t="s">
        <v>732</v>
      </c>
      <c r="BY1054" s="32" t="s">
        <v>667</v>
      </c>
      <c r="BZ1054" s="32">
        <v>1210401</v>
      </c>
      <c r="CA1054" s="354">
        <v>575</v>
      </c>
    </row>
    <row r="1055" spans="74:79" x14ac:dyDescent="0.25">
      <c r="BV1055" s="255" t="str">
        <f t="shared" si="154"/>
        <v>D.LO.9_10T.1210401</v>
      </c>
      <c r="BW1055" s="32" t="s">
        <v>502</v>
      </c>
      <c r="BX1055" s="32" t="s">
        <v>732</v>
      </c>
      <c r="BY1055" s="32" t="s">
        <v>670</v>
      </c>
      <c r="BZ1055" s="32">
        <v>1210401</v>
      </c>
      <c r="CA1055" s="354">
        <v>706</v>
      </c>
    </row>
    <row r="1056" spans="74:79" x14ac:dyDescent="0.25">
      <c r="BV1056" s="255" t="str">
        <f t="shared" si="154"/>
        <v>D.LO.9_12T.1210401</v>
      </c>
      <c r="BW1056" s="32" t="s">
        <v>502</v>
      </c>
      <c r="BX1056" s="32" t="s">
        <v>732</v>
      </c>
      <c r="BY1056" s="32" t="s">
        <v>672</v>
      </c>
      <c r="BZ1056" s="32">
        <v>1210401</v>
      </c>
      <c r="CA1056" s="354">
        <v>729</v>
      </c>
    </row>
    <row r="1057" spans="74:79" x14ac:dyDescent="0.25">
      <c r="BV1057" s="255" t="str">
        <f t="shared" si="154"/>
        <v>D.LO.9_13T.1210401</v>
      </c>
      <c r="BW1057" s="32" t="s">
        <v>502</v>
      </c>
      <c r="BX1057" s="32" t="s">
        <v>732</v>
      </c>
      <c r="BY1057" s="32" t="s">
        <v>673</v>
      </c>
      <c r="BZ1057" s="32">
        <v>1210401</v>
      </c>
      <c r="CA1057" s="354">
        <v>774</v>
      </c>
    </row>
    <row r="1058" spans="74:79" x14ac:dyDescent="0.25">
      <c r="BV1058" s="255" t="str">
        <f t="shared" si="154"/>
        <v>D.LX.12_18B.1210401</v>
      </c>
      <c r="BW1058" s="32" t="s">
        <v>502</v>
      </c>
      <c r="BX1058" s="32" t="s">
        <v>391</v>
      </c>
      <c r="BY1058" s="32" t="s">
        <v>683</v>
      </c>
      <c r="BZ1058" s="32">
        <v>1210401</v>
      </c>
      <c r="CA1058" s="356">
        <v>2641</v>
      </c>
    </row>
    <row r="1059" spans="74:79" x14ac:dyDescent="0.25">
      <c r="BV1059" s="255" t="str">
        <f t="shared" si="154"/>
        <v>D.LX.12_20B.1210401</v>
      </c>
      <c r="BW1059" s="32" t="s">
        <v>502</v>
      </c>
      <c r="BX1059" s="32" t="s">
        <v>391</v>
      </c>
      <c r="BY1059" s="32" t="s">
        <v>686</v>
      </c>
      <c r="BZ1059" s="32">
        <v>1210401</v>
      </c>
      <c r="CA1059" s="356">
        <v>2662</v>
      </c>
    </row>
    <row r="1060" spans="74:79" x14ac:dyDescent="0.25">
      <c r="BV1060" s="255" t="str">
        <f t="shared" si="154"/>
        <v>D.LX.12_22B.1210401</v>
      </c>
      <c r="BW1060" s="32" t="s">
        <v>502</v>
      </c>
      <c r="BX1060" s="32" t="s">
        <v>391</v>
      </c>
      <c r="BY1060" s="32" t="s">
        <v>690</v>
      </c>
      <c r="BZ1060" s="32">
        <v>1210401</v>
      </c>
      <c r="CA1060" s="356">
        <v>2672</v>
      </c>
    </row>
    <row r="1061" spans="74:79" x14ac:dyDescent="0.25">
      <c r="BV1061" s="255" t="str">
        <f t="shared" si="154"/>
        <v>D.LX.12_24B.1210401</v>
      </c>
      <c r="BW1061" s="32" t="s">
        <v>502</v>
      </c>
      <c r="BX1061" s="32" t="s">
        <v>391</v>
      </c>
      <c r="BY1061" s="32" t="s">
        <v>695</v>
      </c>
      <c r="BZ1061" s="32">
        <v>1210401</v>
      </c>
      <c r="CA1061" s="356">
        <v>2814</v>
      </c>
    </row>
    <row r="1062" spans="74:79" x14ac:dyDescent="0.25">
      <c r="BV1062" s="255" t="str">
        <f t="shared" si="154"/>
        <v>D.LX.12_26B.1210401</v>
      </c>
      <c r="BW1062" s="32" t="s">
        <v>502</v>
      </c>
      <c r="BX1062" s="32" t="s">
        <v>391</v>
      </c>
      <c r="BY1062" s="32" t="s">
        <v>700</v>
      </c>
      <c r="BZ1062" s="32">
        <v>1210401</v>
      </c>
      <c r="CA1062" s="356">
        <v>2835</v>
      </c>
    </row>
    <row r="1063" spans="74:79" x14ac:dyDescent="0.25">
      <c r="BV1063" s="255" t="str">
        <f t="shared" si="154"/>
        <v>D.LX.14_18B.1210401</v>
      </c>
      <c r="BW1063" s="32" t="s">
        <v>502</v>
      </c>
      <c r="BX1063" s="32" t="s">
        <v>391</v>
      </c>
      <c r="BY1063" s="32" t="s">
        <v>684</v>
      </c>
      <c r="BZ1063" s="32">
        <v>1210401</v>
      </c>
      <c r="CA1063" s="356">
        <v>2641</v>
      </c>
    </row>
    <row r="1064" spans="74:79" x14ac:dyDescent="0.25">
      <c r="BV1064" s="255" t="str">
        <f t="shared" si="154"/>
        <v>D.LX.14_20B.1210401</v>
      </c>
      <c r="BW1064" s="32" t="s">
        <v>502</v>
      </c>
      <c r="BX1064" s="32" t="s">
        <v>391</v>
      </c>
      <c r="BY1064" s="32" t="s">
        <v>687</v>
      </c>
      <c r="BZ1064" s="32">
        <v>1210401</v>
      </c>
      <c r="CA1064" s="356">
        <v>2662</v>
      </c>
    </row>
    <row r="1065" spans="74:79" x14ac:dyDescent="0.25">
      <c r="BV1065" s="255" t="str">
        <f t="shared" si="154"/>
        <v>D.LX.14_22B.1210401</v>
      </c>
      <c r="BW1065" s="32" t="s">
        <v>502</v>
      </c>
      <c r="BX1065" s="32" t="s">
        <v>391</v>
      </c>
      <c r="BY1065" s="32" t="s">
        <v>691</v>
      </c>
      <c r="BZ1065" s="32">
        <v>1210401</v>
      </c>
      <c r="CA1065" s="356">
        <v>2672</v>
      </c>
    </row>
    <row r="1066" spans="74:79" x14ac:dyDescent="0.25">
      <c r="BV1066" s="255" t="str">
        <f t="shared" si="154"/>
        <v>D.LX.14_24B.1210401</v>
      </c>
      <c r="BW1066" s="32" t="s">
        <v>502</v>
      </c>
      <c r="BX1066" s="32" t="s">
        <v>391</v>
      </c>
      <c r="BY1066" s="32" t="s">
        <v>696</v>
      </c>
      <c r="BZ1066" s="32">
        <v>1210401</v>
      </c>
      <c r="CA1066" s="356">
        <v>2814</v>
      </c>
    </row>
    <row r="1067" spans="74:79" x14ac:dyDescent="0.25">
      <c r="BV1067" s="255" t="str">
        <f t="shared" si="154"/>
        <v>D.LX.14_26B.1210401</v>
      </c>
      <c r="BW1067" s="32" t="s">
        <v>502</v>
      </c>
      <c r="BX1067" s="32" t="s">
        <v>391</v>
      </c>
      <c r="BY1067" s="32" t="s">
        <v>701</v>
      </c>
      <c r="BZ1067" s="32">
        <v>1210401</v>
      </c>
      <c r="CA1067" s="356">
        <v>2835</v>
      </c>
    </row>
    <row r="1068" spans="74:79" x14ac:dyDescent="0.25">
      <c r="BV1068" s="255" t="str">
        <f t="shared" si="154"/>
        <v>D.LX.16_18B.1210401</v>
      </c>
      <c r="BW1068" s="32" t="s">
        <v>502</v>
      </c>
      <c r="BX1068" s="32" t="s">
        <v>391</v>
      </c>
      <c r="BY1068" s="32" t="s">
        <v>685</v>
      </c>
      <c r="BZ1068" s="32">
        <v>1210401</v>
      </c>
      <c r="CA1068" s="356">
        <v>2641</v>
      </c>
    </row>
    <row r="1069" spans="74:79" x14ac:dyDescent="0.25">
      <c r="BV1069" s="255" t="str">
        <f t="shared" si="154"/>
        <v>D.LX.16_20B.1210401</v>
      </c>
      <c r="BW1069" s="32" t="s">
        <v>502</v>
      </c>
      <c r="BX1069" s="32" t="s">
        <v>391</v>
      </c>
      <c r="BY1069" s="32" t="s">
        <v>688</v>
      </c>
      <c r="BZ1069" s="32">
        <v>1210401</v>
      </c>
      <c r="CA1069" s="356">
        <v>2662</v>
      </c>
    </row>
    <row r="1070" spans="74:79" x14ac:dyDescent="0.25">
      <c r="BV1070" s="255" t="str">
        <f t="shared" si="154"/>
        <v>D.LX.16_22B.1210401</v>
      </c>
      <c r="BW1070" s="32" t="s">
        <v>502</v>
      </c>
      <c r="BX1070" s="32" t="s">
        <v>391</v>
      </c>
      <c r="BY1070" s="32" t="s">
        <v>692</v>
      </c>
      <c r="BZ1070" s="32">
        <v>1210401</v>
      </c>
      <c r="CA1070" s="356">
        <v>2672</v>
      </c>
    </row>
    <row r="1071" spans="74:79" x14ac:dyDescent="0.25">
      <c r="BV1071" s="255" t="str">
        <f t="shared" si="154"/>
        <v>D.LX.16_24B.1210401</v>
      </c>
      <c r="BW1071" s="32" t="s">
        <v>502</v>
      </c>
      <c r="BX1071" s="32" t="s">
        <v>391</v>
      </c>
      <c r="BY1071" s="32" t="s">
        <v>697</v>
      </c>
      <c r="BZ1071" s="32">
        <v>1210401</v>
      </c>
      <c r="CA1071" s="356">
        <v>2814</v>
      </c>
    </row>
    <row r="1072" spans="74:79" x14ac:dyDescent="0.25">
      <c r="BV1072" s="255" t="str">
        <f t="shared" si="154"/>
        <v>D.LX.16_26B.1210401</v>
      </c>
      <c r="BW1072" s="32" t="s">
        <v>502</v>
      </c>
      <c r="BX1072" s="32" t="s">
        <v>391</v>
      </c>
      <c r="BY1072" s="32" t="s">
        <v>702</v>
      </c>
      <c r="BZ1072" s="32">
        <v>1210401</v>
      </c>
      <c r="CA1072" s="356">
        <v>2835</v>
      </c>
    </row>
    <row r="1073" spans="74:79" x14ac:dyDescent="0.25">
      <c r="BV1073" s="255" t="str">
        <f t="shared" si="154"/>
        <v>D.LX.18_20B.1210401</v>
      </c>
      <c r="BW1073" s="32" t="s">
        <v>502</v>
      </c>
      <c r="BX1073" s="32" t="s">
        <v>391</v>
      </c>
      <c r="BY1073" s="32" t="s">
        <v>689</v>
      </c>
      <c r="BZ1073" s="32">
        <v>1210401</v>
      </c>
      <c r="CA1073" s="356">
        <v>2662</v>
      </c>
    </row>
    <row r="1074" spans="74:79" x14ac:dyDescent="0.25">
      <c r="BV1074" s="255" t="str">
        <f t="shared" si="154"/>
        <v>D.LX.18_22B.1210401</v>
      </c>
      <c r="BW1074" s="32" t="s">
        <v>502</v>
      </c>
      <c r="BX1074" s="32" t="s">
        <v>391</v>
      </c>
      <c r="BY1074" s="32" t="s">
        <v>693</v>
      </c>
      <c r="BZ1074" s="32">
        <v>1210401</v>
      </c>
      <c r="CA1074" s="356">
        <v>2672</v>
      </c>
    </row>
    <row r="1075" spans="74:79" x14ac:dyDescent="0.25">
      <c r="BV1075" s="255" t="str">
        <f t="shared" si="154"/>
        <v>D.LX.18_24B.1210401</v>
      </c>
      <c r="BW1075" s="32" t="s">
        <v>502</v>
      </c>
      <c r="BX1075" s="32" t="s">
        <v>391</v>
      </c>
      <c r="BY1075" s="32" t="s">
        <v>698</v>
      </c>
      <c r="BZ1075" s="32">
        <v>1210401</v>
      </c>
      <c r="CA1075" s="356">
        <v>2814</v>
      </c>
    </row>
    <row r="1076" spans="74:79" x14ac:dyDescent="0.25">
      <c r="BV1076" s="255" t="str">
        <f t="shared" si="154"/>
        <v>D.LX.20_20B.1210401</v>
      </c>
      <c r="BW1076" s="32" t="s">
        <v>502</v>
      </c>
      <c r="BX1076" s="32" t="s">
        <v>391</v>
      </c>
      <c r="BY1076" s="32" t="s">
        <v>738</v>
      </c>
      <c r="BZ1076" s="32">
        <v>1210401</v>
      </c>
      <c r="CA1076" s="356">
        <v>2662</v>
      </c>
    </row>
    <row r="1077" spans="74:79" x14ac:dyDescent="0.25">
      <c r="BV1077" s="255" t="str">
        <f t="shared" si="154"/>
        <v>D.LX.20_22B.1210401</v>
      </c>
      <c r="BW1077" s="32" t="s">
        <v>502</v>
      </c>
      <c r="BX1077" s="32" t="s">
        <v>391</v>
      </c>
      <c r="BY1077" s="32" t="s">
        <v>694</v>
      </c>
      <c r="BZ1077" s="32">
        <v>1210401</v>
      </c>
      <c r="CA1077" s="356">
        <v>2672</v>
      </c>
    </row>
    <row r="1078" spans="74:79" x14ac:dyDescent="0.25">
      <c r="BV1078" s="255" t="str">
        <f t="shared" si="154"/>
        <v>D.LX.20_24B.1210401</v>
      </c>
      <c r="BW1078" s="32" t="s">
        <v>502</v>
      </c>
      <c r="BX1078" s="32" t="s">
        <v>391</v>
      </c>
      <c r="BY1078" s="32" t="s">
        <v>699</v>
      </c>
      <c r="BZ1078" s="32">
        <v>1210401</v>
      </c>
      <c r="CA1078" s="356">
        <v>2814</v>
      </c>
    </row>
    <row r="1079" spans="74:79" x14ac:dyDescent="0.25">
      <c r="BV1079" s="255" t="str">
        <f t="shared" si="154"/>
        <v>D.LX.12_14F.1210401</v>
      </c>
      <c r="BW1079" s="32" t="s">
        <v>502</v>
      </c>
      <c r="BX1079" s="32" t="s">
        <v>391</v>
      </c>
      <c r="BY1079" s="32" t="s">
        <v>703</v>
      </c>
      <c r="BZ1079" s="32">
        <v>1210401</v>
      </c>
      <c r="CA1079" s="356">
        <v>1710</v>
      </c>
    </row>
    <row r="1080" spans="74:79" x14ac:dyDescent="0.25">
      <c r="BV1080" s="255" t="str">
        <f t="shared" si="154"/>
        <v>D.LX.13_14F.1210401</v>
      </c>
      <c r="BW1080" s="32" t="s">
        <v>502</v>
      </c>
      <c r="BX1080" s="32" t="s">
        <v>391</v>
      </c>
      <c r="BY1080" s="32" t="s">
        <v>704</v>
      </c>
      <c r="BZ1080" s="32">
        <v>1210401</v>
      </c>
      <c r="CA1080" s="356">
        <v>1710</v>
      </c>
    </row>
    <row r="1081" spans="74:79" x14ac:dyDescent="0.25">
      <c r="BV1081" s="255" t="str">
        <f t="shared" si="154"/>
        <v>D.LX.13_15F.1210401</v>
      </c>
      <c r="BW1081" s="32" t="s">
        <v>502</v>
      </c>
      <c r="BX1081" s="32" t="s">
        <v>391</v>
      </c>
      <c r="BY1081" s="32" t="s">
        <v>706</v>
      </c>
      <c r="BZ1081" s="32">
        <v>1210401</v>
      </c>
      <c r="CA1081" s="356">
        <v>1772</v>
      </c>
    </row>
    <row r="1082" spans="74:79" x14ac:dyDescent="0.25">
      <c r="BV1082" s="255" t="str">
        <f t="shared" si="154"/>
        <v>D.LX.13_16F.1210401</v>
      </c>
      <c r="BW1082" s="32" t="s">
        <v>502</v>
      </c>
      <c r="BX1082" s="32" t="s">
        <v>391</v>
      </c>
      <c r="BY1082" s="32" t="s">
        <v>708</v>
      </c>
      <c r="BZ1082" s="32">
        <v>1210401</v>
      </c>
      <c r="CA1082" s="356">
        <v>1801</v>
      </c>
    </row>
    <row r="1083" spans="74:79" x14ac:dyDescent="0.25">
      <c r="BV1083" s="255" t="str">
        <f t="shared" si="154"/>
        <v>D.LX.14_14F.1210401</v>
      </c>
      <c r="BW1083" s="32" t="s">
        <v>502</v>
      </c>
      <c r="BX1083" s="32" t="s">
        <v>391</v>
      </c>
      <c r="BY1083" s="32" t="s">
        <v>705</v>
      </c>
      <c r="BZ1083" s="32">
        <v>1210401</v>
      </c>
      <c r="CA1083" s="356">
        <v>1710</v>
      </c>
    </row>
    <row r="1084" spans="74:79" x14ac:dyDescent="0.25">
      <c r="BV1084" s="255" t="str">
        <f t="shared" si="154"/>
        <v>D.LX.14_15F.1210401</v>
      </c>
      <c r="BW1084" s="32" t="s">
        <v>502</v>
      </c>
      <c r="BX1084" s="32" t="s">
        <v>391</v>
      </c>
      <c r="BY1084" s="32" t="s">
        <v>707</v>
      </c>
      <c r="BZ1084" s="32">
        <v>1210401</v>
      </c>
      <c r="CA1084" s="356">
        <v>1772</v>
      </c>
    </row>
    <row r="1085" spans="74:79" x14ac:dyDescent="0.25">
      <c r="BV1085" s="255" t="str">
        <f t="shared" si="154"/>
        <v>D.LX.14_16F.1210401</v>
      </c>
      <c r="BW1085" s="32" t="s">
        <v>502</v>
      </c>
      <c r="BX1085" s="32" t="s">
        <v>391</v>
      </c>
      <c r="BY1085" s="32" t="s">
        <v>709</v>
      </c>
      <c r="BZ1085" s="32">
        <v>1210401</v>
      </c>
      <c r="CA1085" s="356">
        <v>1801</v>
      </c>
    </row>
    <row r="1086" spans="74:79" x14ac:dyDescent="0.25">
      <c r="BV1086" s="255" t="str">
        <f t="shared" si="154"/>
        <v>D.LX.15_16F.1210401</v>
      </c>
      <c r="BW1086" s="32" t="s">
        <v>502</v>
      </c>
      <c r="BX1086" s="32" t="s">
        <v>391</v>
      </c>
      <c r="BY1086" s="32" t="s">
        <v>710</v>
      </c>
      <c r="BZ1086" s="32">
        <v>1210401</v>
      </c>
      <c r="CA1086" s="356">
        <v>1801</v>
      </c>
    </row>
    <row r="1087" spans="74:79" x14ac:dyDescent="0.25">
      <c r="BV1087" s="255" t="str">
        <f t="shared" si="154"/>
        <v>D.LX.16_16F.1210401</v>
      </c>
      <c r="BW1087" s="32" t="s">
        <v>502</v>
      </c>
      <c r="BX1087" s="32" t="s">
        <v>391</v>
      </c>
      <c r="BY1087" s="32" t="s">
        <v>711</v>
      </c>
      <c r="BZ1087" s="32">
        <v>1210401</v>
      </c>
      <c r="CA1087" s="356">
        <v>1801</v>
      </c>
    </row>
    <row r="1088" spans="74:79" x14ac:dyDescent="0.25">
      <c r="BV1088" s="255" t="str">
        <f t="shared" si="154"/>
        <v>D.LX.16_18F.1210401</v>
      </c>
      <c r="BW1088" s="32" t="s">
        <v>502</v>
      </c>
      <c r="BX1088" s="32" t="s">
        <v>391</v>
      </c>
      <c r="BY1088" s="32" t="s">
        <v>712</v>
      </c>
      <c r="BZ1088" s="32">
        <v>1210401</v>
      </c>
      <c r="CA1088" s="356">
        <v>1845</v>
      </c>
    </row>
    <row r="1089" spans="74:79" x14ac:dyDescent="0.25">
      <c r="BV1089" s="255" t="str">
        <f t="shared" si="154"/>
        <v>D.LX.10_14S.1210401</v>
      </c>
      <c r="BW1089" s="32" t="s">
        <v>502</v>
      </c>
      <c r="BX1089" s="32" t="s">
        <v>391</v>
      </c>
      <c r="BY1089" s="32" t="s">
        <v>733</v>
      </c>
      <c r="BZ1089" s="32">
        <v>1210401</v>
      </c>
      <c r="CA1089" s="356">
        <v>1325</v>
      </c>
    </row>
    <row r="1090" spans="74:79" x14ac:dyDescent="0.25">
      <c r="BV1090" s="255" t="str">
        <f t="shared" si="154"/>
        <v>D.LX.4_14S.1210401</v>
      </c>
      <c r="BW1090" s="32" t="s">
        <v>502</v>
      </c>
      <c r="BX1090" s="32" t="s">
        <v>391</v>
      </c>
      <c r="BY1090" s="32" t="s">
        <v>739</v>
      </c>
      <c r="BZ1090" s="32">
        <v>1210401</v>
      </c>
      <c r="CA1090" s="356">
        <v>1167</v>
      </c>
    </row>
    <row r="1091" spans="74:79" x14ac:dyDescent="0.25">
      <c r="BV1091" s="255" t="str">
        <f t="shared" si="154"/>
        <v>D.LX.4_14x8S.1210401</v>
      </c>
      <c r="BW1091" s="32" t="s">
        <v>502</v>
      </c>
      <c r="BX1091" s="32" t="s">
        <v>391</v>
      </c>
      <c r="BY1091" s="32" t="s">
        <v>740</v>
      </c>
      <c r="BZ1091" s="32">
        <v>1210401</v>
      </c>
      <c r="CA1091" s="356">
        <v>1167</v>
      </c>
    </row>
    <row r="1092" spans="74:79" x14ac:dyDescent="0.25">
      <c r="BV1092" s="255" t="str">
        <f t="shared" si="154"/>
        <v>D.LX.5_14S.1210401</v>
      </c>
      <c r="BW1092" s="32" t="s">
        <v>502</v>
      </c>
      <c r="BX1092" s="32" t="s">
        <v>391</v>
      </c>
      <c r="BY1092" s="32" t="s">
        <v>677</v>
      </c>
      <c r="BZ1092" s="32">
        <v>1210401</v>
      </c>
      <c r="CA1092" s="356">
        <v>1167</v>
      </c>
    </row>
    <row r="1093" spans="74:79" x14ac:dyDescent="0.25">
      <c r="BV1093" s="255" t="str">
        <f t="shared" si="154"/>
        <v>D.LX.5_14x8S.1210401</v>
      </c>
      <c r="BW1093" s="32" t="s">
        <v>502</v>
      </c>
      <c r="BX1093" s="32" t="s">
        <v>391</v>
      </c>
      <c r="BY1093" s="32" t="s">
        <v>681</v>
      </c>
      <c r="BZ1093" s="32">
        <v>1210401</v>
      </c>
      <c r="CA1093" s="356">
        <v>1167</v>
      </c>
    </row>
    <row r="1094" spans="74:79" x14ac:dyDescent="0.25">
      <c r="BV1094" s="255" t="str">
        <f t="shared" si="154"/>
        <v>D.LX.5H_14S.1210401</v>
      </c>
      <c r="BW1094" s="32" t="s">
        <v>502</v>
      </c>
      <c r="BX1094" s="32" t="s">
        <v>391</v>
      </c>
      <c r="BY1094" s="32" t="s">
        <v>1208</v>
      </c>
      <c r="BZ1094" s="32">
        <v>1210401</v>
      </c>
      <c r="CA1094" s="356">
        <v>1193</v>
      </c>
    </row>
    <row r="1095" spans="74:79" x14ac:dyDescent="0.25">
      <c r="BV1095" s="255" t="str">
        <f t="shared" si="154"/>
        <v>D.LX.5H_14x8S.1210401</v>
      </c>
      <c r="BW1095" s="32" t="s">
        <v>502</v>
      </c>
      <c r="BX1095" s="32" t="s">
        <v>391</v>
      </c>
      <c r="BY1095" s="32" t="s">
        <v>1209</v>
      </c>
      <c r="BZ1095" s="32">
        <v>1210401</v>
      </c>
      <c r="CA1095" s="356">
        <v>1193</v>
      </c>
    </row>
    <row r="1096" spans="74:79" x14ac:dyDescent="0.25">
      <c r="BV1096" s="255" t="str">
        <f t="shared" si="154"/>
        <v>D.LX.6_12S.1210401</v>
      </c>
      <c r="BW1096" s="32" t="s">
        <v>502</v>
      </c>
      <c r="BX1096" s="32" t="s">
        <v>391</v>
      </c>
      <c r="BY1096" s="32" t="s">
        <v>675</v>
      </c>
      <c r="BZ1096" s="32">
        <v>1210401</v>
      </c>
      <c r="CA1096" s="356">
        <v>1178</v>
      </c>
    </row>
    <row r="1097" spans="74:79" x14ac:dyDescent="0.25">
      <c r="BV1097" s="255" t="str">
        <f t="shared" si="154"/>
        <v>D.LX.6_13S.1210401</v>
      </c>
      <c r="BW1097" s="32" t="s">
        <v>502</v>
      </c>
      <c r="BX1097" s="32" t="s">
        <v>391</v>
      </c>
      <c r="BY1097" s="32" t="s">
        <v>676</v>
      </c>
      <c r="BZ1097" s="32">
        <v>1210401</v>
      </c>
      <c r="CA1097" s="356">
        <v>1206</v>
      </c>
    </row>
    <row r="1098" spans="74:79" x14ac:dyDescent="0.25">
      <c r="BV1098" s="255" t="str">
        <f t="shared" si="154"/>
        <v>D.LX.6H_14S.1210401</v>
      </c>
      <c r="BW1098" s="32" t="s">
        <v>502</v>
      </c>
      <c r="BX1098" s="32" t="s">
        <v>391</v>
      </c>
      <c r="BY1098" s="32" t="s">
        <v>680</v>
      </c>
      <c r="BZ1098" s="32">
        <v>1210401</v>
      </c>
      <c r="CA1098" s="356">
        <v>1246</v>
      </c>
    </row>
    <row r="1099" spans="74:79" x14ac:dyDescent="0.25">
      <c r="BV1099" s="255" t="str">
        <f t="shared" si="154"/>
        <v>D.LX.6H_14x8S.1210401</v>
      </c>
      <c r="BW1099" s="32" t="s">
        <v>502</v>
      </c>
      <c r="BX1099" s="32" t="s">
        <v>391</v>
      </c>
      <c r="BY1099" s="32" t="s">
        <v>682</v>
      </c>
      <c r="BZ1099" s="32">
        <v>1210401</v>
      </c>
      <c r="CA1099" s="356">
        <v>1246</v>
      </c>
    </row>
    <row r="1100" spans="74:79" x14ac:dyDescent="0.25">
      <c r="BV1100" s="255" t="str">
        <f t="shared" si="154"/>
        <v>D.LX.8_14S.1210401</v>
      </c>
      <c r="BW1100" s="32" t="s">
        <v>502</v>
      </c>
      <c r="BX1100" s="32" t="s">
        <v>391</v>
      </c>
      <c r="BY1100" s="32" t="s">
        <v>678</v>
      </c>
      <c r="BZ1100" s="32">
        <v>1210401</v>
      </c>
      <c r="CA1100" s="356">
        <v>1297</v>
      </c>
    </row>
    <row r="1101" spans="74:79" x14ac:dyDescent="0.25">
      <c r="BV1101" s="255" t="str">
        <f t="shared" si="154"/>
        <v>D.LX.10_12T.1210401</v>
      </c>
      <c r="BW1101" s="32" t="s">
        <v>502</v>
      </c>
      <c r="BX1101" s="32" t="s">
        <v>391</v>
      </c>
      <c r="BY1101" s="32" t="s">
        <v>713</v>
      </c>
      <c r="BZ1101" s="32">
        <v>1210401</v>
      </c>
      <c r="CA1101" s="356">
        <v>1475</v>
      </c>
    </row>
    <row r="1102" spans="74:79" x14ac:dyDescent="0.25">
      <c r="BV1102" s="255" t="str">
        <f t="shared" si="154"/>
        <v>D.LX.10_13T.1210401</v>
      </c>
      <c r="BW1102" s="32" t="s">
        <v>502</v>
      </c>
      <c r="BX1102" s="32" t="s">
        <v>391</v>
      </c>
      <c r="BY1102" s="32" t="s">
        <v>715</v>
      </c>
      <c r="BZ1102" s="32">
        <v>1210401</v>
      </c>
      <c r="CA1102" s="356">
        <v>1486</v>
      </c>
    </row>
    <row r="1103" spans="74:79" x14ac:dyDescent="0.25">
      <c r="BV1103" s="255" t="str">
        <f t="shared" si="154"/>
        <v>D.LX.10_14T.1210401</v>
      </c>
      <c r="BW1103" s="32" t="s">
        <v>502</v>
      </c>
      <c r="BX1103" s="32" t="s">
        <v>391</v>
      </c>
      <c r="BY1103" s="32" t="s">
        <v>718</v>
      </c>
      <c r="BZ1103" s="32">
        <v>1210401</v>
      </c>
      <c r="CA1103" s="356">
        <v>1612</v>
      </c>
    </row>
    <row r="1104" spans="74:79" x14ac:dyDescent="0.25">
      <c r="BV1104" s="255" t="str">
        <f t="shared" si="154"/>
        <v>D.LX.11_12T.1210401</v>
      </c>
      <c r="BW1104" s="32" t="s">
        <v>502</v>
      </c>
      <c r="BX1104" s="32" t="s">
        <v>391</v>
      </c>
      <c r="BY1104" s="32" t="s">
        <v>714</v>
      </c>
      <c r="BZ1104" s="32">
        <v>1210401</v>
      </c>
      <c r="CA1104" s="356">
        <v>1475</v>
      </c>
    </row>
    <row r="1105" spans="74:79" x14ac:dyDescent="0.25">
      <c r="BV1105" s="255" t="str">
        <f t="shared" si="154"/>
        <v>D.LX.11_13T.1210401</v>
      </c>
      <c r="BW1105" s="32" t="s">
        <v>502</v>
      </c>
      <c r="BX1105" s="32" t="s">
        <v>391</v>
      </c>
      <c r="BY1105" s="32" t="s">
        <v>716</v>
      </c>
      <c r="BZ1105" s="32">
        <v>1210401</v>
      </c>
      <c r="CA1105" s="356">
        <v>1486</v>
      </c>
    </row>
    <row r="1106" spans="74:79" x14ac:dyDescent="0.25">
      <c r="BV1106" s="255" t="str">
        <f t="shared" si="154"/>
        <v>D.LX.11_14T.1210401</v>
      </c>
      <c r="BW1106" s="32" t="s">
        <v>502</v>
      </c>
      <c r="BX1106" s="32" t="s">
        <v>391</v>
      </c>
      <c r="BY1106" s="32" t="s">
        <v>719</v>
      </c>
      <c r="BZ1106" s="32">
        <v>1210401</v>
      </c>
      <c r="CA1106" s="356">
        <v>1612</v>
      </c>
    </row>
    <row r="1107" spans="74:79" x14ac:dyDescent="0.25">
      <c r="BV1107" s="255" t="str">
        <f t="shared" si="154"/>
        <v>D.LX.12_13T.1210401</v>
      </c>
      <c r="BW1107" s="32" t="s">
        <v>502</v>
      </c>
      <c r="BX1107" s="32" t="s">
        <v>391</v>
      </c>
      <c r="BY1107" s="32" t="s">
        <v>717</v>
      </c>
      <c r="BZ1107" s="32">
        <v>1210401</v>
      </c>
      <c r="CA1107" s="356">
        <v>1486</v>
      </c>
    </row>
    <row r="1108" spans="74:79" x14ac:dyDescent="0.25">
      <c r="BV1108" s="255" t="str">
        <f t="shared" si="154"/>
        <v>D.LX.12_14T.1210401</v>
      </c>
      <c r="BW1108" s="32" t="s">
        <v>502</v>
      </c>
      <c r="BX1108" s="32" t="s">
        <v>391</v>
      </c>
      <c r="BY1108" s="32" t="s">
        <v>720</v>
      </c>
      <c r="BZ1108" s="32">
        <v>1210401</v>
      </c>
      <c r="CA1108" s="356">
        <v>1612</v>
      </c>
    </row>
    <row r="1109" spans="74:79" x14ac:dyDescent="0.25">
      <c r="BV1109" s="255" t="str">
        <f t="shared" si="154"/>
        <v>D.LX.12_15T.1210401</v>
      </c>
      <c r="BW1109" s="32" t="s">
        <v>502</v>
      </c>
      <c r="BX1109" s="32" t="s">
        <v>391</v>
      </c>
      <c r="BY1109" s="32" t="s">
        <v>723</v>
      </c>
      <c r="BZ1109" s="32">
        <v>1210401</v>
      </c>
      <c r="CA1109" s="356">
        <v>1675</v>
      </c>
    </row>
    <row r="1110" spans="74:79" x14ac:dyDescent="0.25">
      <c r="BV1110" s="255" t="str">
        <f t="shared" ref="BV1110:BV1118" si="155">CONCATENATE(BW1110,".",BX1110,".",BY1110,".",BZ1110)</f>
        <v>D.LX.13_14T.1210401</v>
      </c>
      <c r="BW1110" s="32" t="s">
        <v>502</v>
      </c>
      <c r="BX1110" s="32" t="s">
        <v>391</v>
      </c>
      <c r="BY1110" s="32" t="s">
        <v>721</v>
      </c>
      <c r="BZ1110" s="32">
        <v>1210401</v>
      </c>
      <c r="CA1110" s="356">
        <v>1612</v>
      </c>
    </row>
    <row r="1111" spans="74:79" x14ac:dyDescent="0.25">
      <c r="BV1111" s="255" t="str">
        <f t="shared" si="155"/>
        <v>D.LX.13_15T.1210401</v>
      </c>
      <c r="BW1111" s="32" t="s">
        <v>502</v>
      </c>
      <c r="BX1111" s="32" t="s">
        <v>391</v>
      </c>
      <c r="BY1111" s="32" t="s">
        <v>724</v>
      </c>
      <c r="BZ1111" s="32">
        <v>1210401</v>
      </c>
      <c r="CA1111" s="356">
        <v>1675</v>
      </c>
    </row>
    <row r="1112" spans="74:79" x14ac:dyDescent="0.25">
      <c r="BV1112" s="255" t="str">
        <f t="shared" si="155"/>
        <v>D.LX.13_16T.1210401</v>
      </c>
      <c r="BW1112" s="32" t="s">
        <v>502</v>
      </c>
      <c r="BX1112" s="32" t="s">
        <v>391</v>
      </c>
      <c r="BY1112" s="32" t="s">
        <v>726</v>
      </c>
      <c r="BZ1112" s="32">
        <v>1210401</v>
      </c>
      <c r="CA1112" s="356">
        <v>1754</v>
      </c>
    </row>
    <row r="1113" spans="74:79" x14ac:dyDescent="0.25">
      <c r="BV1113" s="255" t="str">
        <f t="shared" si="155"/>
        <v>D.LX.14_14T.1210401</v>
      </c>
      <c r="BW1113" s="32" t="s">
        <v>502</v>
      </c>
      <c r="BX1113" s="32" t="s">
        <v>391</v>
      </c>
      <c r="BY1113" s="32" t="s">
        <v>722</v>
      </c>
      <c r="BZ1113" s="32">
        <v>1210401</v>
      </c>
      <c r="CA1113" s="356">
        <v>1612</v>
      </c>
    </row>
    <row r="1114" spans="74:79" x14ac:dyDescent="0.25">
      <c r="BV1114" s="255" t="str">
        <f t="shared" si="155"/>
        <v>D.LX.14_15T.1210401</v>
      </c>
      <c r="BW1114" s="32" t="s">
        <v>502</v>
      </c>
      <c r="BX1114" s="32" t="s">
        <v>391</v>
      </c>
      <c r="BY1114" s="32" t="s">
        <v>725</v>
      </c>
      <c r="BZ1114" s="32">
        <v>1210401</v>
      </c>
      <c r="CA1114" s="356">
        <v>1675</v>
      </c>
    </row>
    <row r="1115" spans="74:79" x14ac:dyDescent="0.25">
      <c r="BV1115" s="255" t="str">
        <f t="shared" si="155"/>
        <v>D.LX.14_16T.1210401</v>
      </c>
      <c r="BW1115" s="32" t="s">
        <v>502</v>
      </c>
      <c r="BX1115" s="32" t="s">
        <v>391</v>
      </c>
      <c r="BY1115" s="32" t="s">
        <v>727</v>
      </c>
      <c r="BZ1115" s="32">
        <v>1210401</v>
      </c>
      <c r="CA1115" s="356">
        <v>1754</v>
      </c>
    </row>
    <row r="1116" spans="74:79" x14ac:dyDescent="0.25">
      <c r="BV1116" s="255" t="str">
        <f t="shared" si="155"/>
        <v>D.LX.15_16T.1210401</v>
      </c>
      <c r="BW1116" s="32" t="s">
        <v>502</v>
      </c>
      <c r="BX1116" s="32" t="s">
        <v>391</v>
      </c>
      <c r="BY1116" s="32" t="s">
        <v>728</v>
      </c>
      <c r="BZ1116" s="32">
        <v>1210401</v>
      </c>
      <c r="CA1116" s="356">
        <v>1754</v>
      </c>
    </row>
    <row r="1117" spans="74:79" x14ac:dyDescent="0.25">
      <c r="BV1117" s="255" t="str">
        <f t="shared" si="155"/>
        <v>D.LX.16_16T.1210401</v>
      </c>
      <c r="BW1117" s="32" t="s">
        <v>502</v>
      </c>
      <c r="BX1117" s="32" t="s">
        <v>391</v>
      </c>
      <c r="BY1117" s="32" t="s">
        <v>729</v>
      </c>
      <c r="BZ1117" s="32">
        <v>1210401</v>
      </c>
      <c r="CA1117" s="356">
        <v>1754</v>
      </c>
    </row>
    <row r="1118" spans="74:79" x14ac:dyDescent="0.25">
      <c r="BV1118" s="255" t="str">
        <f t="shared" si="155"/>
        <v>D.LX.7_10T.1210401</v>
      </c>
      <c r="BW1118" s="32" t="s">
        <v>502</v>
      </c>
      <c r="BX1118" s="32" t="s">
        <v>391</v>
      </c>
      <c r="BY1118" s="32" t="s">
        <v>668</v>
      </c>
      <c r="BZ1118" s="32">
        <v>1210401</v>
      </c>
      <c r="CA1118" s="356">
        <v>1591</v>
      </c>
    </row>
    <row r="1119" spans="74:79" x14ac:dyDescent="0.25">
      <c r="BV1119" s="255" t="str">
        <f t="shared" ref="BV1119:BV1124" si="156">CONCATENATE(BW1119,".",BX1119,".",BY1119,".",BZ1119)</f>
        <v>D.LX.7H_10T.1210401</v>
      </c>
      <c r="BW1119" s="32" t="s">
        <v>502</v>
      </c>
      <c r="BX1119" s="32" t="s">
        <v>391</v>
      </c>
      <c r="BY1119" s="32" t="s">
        <v>674</v>
      </c>
      <c r="BZ1119" s="32">
        <v>1210401</v>
      </c>
      <c r="CA1119" s="356">
        <v>1591</v>
      </c>
    </row>
    <row r="1120" spans="74:79" x14ac:dyDescent="0.25">
      <c r="BV1120" s="255" t="str">
        <f t="shared" si="156"/>
        <v>D.LX.8_10T.1210401</v>
      </c>
      <c r="BW1120" s="32" t="s">
        <v>502</v>
      </c>
      <c r="BX1120" s="32" t="s">
        <v>391</v>
      </c>
      <c r="BY1120" s="32" t="s">
        <v>669</v>
      </c>
      <c r="BZ1120" s="32">
        <v>1210401</v>
      </c>
      <c r="CA1120" s="356">
        <v>1591</v>
      </c>
    </row>
    <row r="1121" spans="74:79" x14ac:dyDescent="0.25">
      <c r="BV1121" s="255" t="str">
        <f t="shared" si="156"/>
        <v>D.LX.8_12T.1210401</v>
      </c>
      <c r="BW1121" s="32" t="s">
        <v>502</v>
      </c>
      <c r="BX1121" s="32" t="s">
        <v>391</v>
      </c>
      <c r="BY1121" s="32" t="s">
        <v>671</v>
      </c>
      <c r="BZ1121" s="32">
        <v>1210401</v>
      </c>
      <c r="CA1121" s="356">
        <v>1475</v>
      </c>
    </row>
    <row r="1122" spans="74:79" x14ac:dyDescent="0.25">
      <c r="BV1122" s="255" t="str">
        <f t="shared" si="156"/>
        <v>D.LX.9_10T.1210401</v>
      </c>
      <c r="BW1122" s="32" t="s">
        <v>502</v>
      </c>
      <c r="BX1122" s="32" t="s">
        <v>391</v>
      </c>
      <c r="BY1122" s="32" t="s">
        <v>670</v>
      </c>
      <c r="BZ1122" s="32">
        <v>1210401</v>
      </c>
      <c r="CA1122" s="356">
        <v>1591</v>
      </c>
    </row>
    <row r="1123" spans="74:79" x14ac:dyDescent="0.25">
      <c r="BV1123" s="255" t="str">
        <f t="shared" si="156"/>
        <v>D.LX.9_12T.1210401</v>
      </c>
      <c r="BW1123" s="32" t="s">
        <v>502</v>
      </c>
      <c r="BX1123" s="32" t="s">
        <v>391</v>
      </c>
      <c r="BY1123" s="32" t="s">
        <v>672</v>
      </c>
      <c r="BZ1123" s="32">
        <v>1210401</v>
      </c>
      <c r="CA1123" s="356">
        <v>1475</v>
      </c>
    </row>
    <row r="1124" spans="74:79" x14ac:dyDescent="0.25">
      <c r="BV1124" s="255" t="str">
        <f t="shared" si="156"/>
        <v>D.LX.9_13T.1210401</v>
      </c>
      <c r="BW1124" s="32" t="s">
        <v>502</v>
      </c>
      <c r="BX1124" s="32" t="s">
        <v>391</v>
      </c>
      <c r="BY1124" s="32" t="s">
        <v>673</v>
      </c>
      <c r="BZ1124" s="32">
        <v>1210401</v>
      </c>
      <c r="CA1124" s="356">
        <v>1486</v>
      </c>
    </row>
    <row r="1125" spans="74:79" x14ac:dyDescent="0.25">
      <c r="BW1125" s="32" t="s">
        <v>502</v>
      </c>
      <c r="BX1125" s="32" t="s">
        <v>391</v>
      </c>
      <c r="BY1125" s="32" t="s">
        <v>737</v>
      </c>
      <c r="BZ1125" s="32">
        <v>1210401</v>
      </c>
      <c r="CA1125" s="356">
        <v>1612</v>
      </c>
    </row>
    <row r="1126" spans="74:79" x14ac:dyDescent="0.25">
      <c r="BW1126" s="32" t="s">
        <v>114</v>
      </c>
      <c r="BX1126" s="32" t="s">
        <v>730</v>
      </c>
      <c r="BY1126" s="32" t="s">
        <v>683</v>
      </c>
      <c r="BZ1126" s="32">
        <v>1210401</v>
      </c>
      <c r="CA1126" s="354">
        <v>1762</v>
      </c>
    </row>
    <row r="1127" spans="74:79" x14ac:dyDescent="0.25">
      <c r="BW1127" s="32" t="s">
        <v>114</v>
      </c>
      <c r="BX1127" s="32" t="s">
        <v>730</v>
      </c>
      <c r="BY1127" s="32" t="s">
        <v>686</v>
      </c>
      <c r="BZ1127" s="32">
        <v>1210401</v>
      </c>
      <c r="CA1127" s="354">
        <v>1813</v>
      </c>
    </row>
    <row r="1128" spans="74:79" x14ac:dyDescent="0.25">
      <c r="BW1128" s="32" t="s">
        <v>114</v>
      </c>
      <c r="BX1128" s="32" t="s">
        <v>730</v>
      </c>
      <c r="BY1128" s="32" t="s">
        <v>690</v>
      </c>
      <c r="BZ1128" s="32">
        <v>1210401</v>
      </c>
      <c r="CA1128" s="354">
        <v>1901</v>
      </c>
    </row>
    <row r="1129" spans="74:79" x14ac:dyDescent="0.25">
      <c r="BW1129" s="32" t="s">
        <v>114</v>
      </c>
      <c r="BX1129" s="32" t="s">
        <v>730</v>
      </c>
      <c r="BY1129" s="32" t="s">
        <v>695</v>
      </c>
      <c r="BZ1129" s="32">
        <v>1210401</v>
      </c>
      <c r="CA1129" s="354">
        <v>1973</v>
      </c>
    </row>
    <row r="1130" spans="74:79" x14ac:dyDescent="0.25">
      <c r="BW1130" s="32" t="s">
        <v>114</v>
      </c>
      <c r="BX1130" s="32" t="s">
        <v>730</v>
      </c>
      <c r="BY1130" s="32" t="s">
        <v>700</v>
      </c>
      <c r="BZ1130" s="32">
        <v>1210401</v>
      </c>
      <c r="CA1130" s="354">
        <v>1990</v>
      </c>
    </row>
    <row r="1131" spans="74:79" x14ac:dyDescent="0.25">
      <c r="BW1131" s="32" t="s">
        <v>114</v>
      </c>
      <c r="BX1131" s="32" t="s">
        <v>730</v>
      </c>
      <c r="BY1131" s="32" t="s">
        <v>684</v>
      </c>
      <c r="BZ1131" s="32">
        <v>1210401</v>
      </c>
      <c r="CA1131" s="354">
        <v>1762</v>
      </c>
    </row>
    <row r="1132" spans="74:79" x14ac:dyDescent="0.25">
      <c r="BW1132" s="32" t="s">
        <v>114</v>
      </c>
      <c r="BX1132" s="32" t="s">
        <v>730</v>
      </c>
      <c r="BY1132" s="32" t="s">
        <v>687</v>
      </c>
      <c r="BZ1132" s="32">
        <v>1210401</v>
      </c>
      <c r="CA1132" s="354">
        <v>1813</v>
      </c>
    </row>
    <row r="1133" spans="74:79" x14ac:dyDescent="0.25">
      <c r="BW1133" s="32" t="s">
        <v>114</v>
      </c>
      <c r="BX1133" s="32" t="s">
        <v>730</v>
      </c>
      <c r="BY1133" s="32" t="s">
        <v>691</v>
      </c>
      <c r="BZ1133" s="32">
        <v>1210401</v>
      </c>
      <c r="CA1133" s="354">
        <v>1901</v>
      </c>
    </row>
    <row r="1134" spans="74:79" x14ac:dyDescent="0.25">
      <c r="BW1134" s="32" t="s">
        <v>114</v>
      </c>
      <c r="BX1134" s="32" t="s">
        <v>730</v>
      </c>
      <c r="BY1134" s="32" t="s">
        <v>696</v>
      </c>
      <c r="BZ1134" s="32">
        <v>1210401</v>
      </c>
      <c r="CA1134" s="354">
        <v>1973</v>
      </c>
    </row>
    <row r="1135" spans="74:79" x14ac:dyDescent="0.25">
      <c r="BW1135" s="32" t="s">
        <v>114</v>
      </c>
      <c r="BX1135" s="32" t="s">
        <v>730</v>
      </c>
      <c r="BY1135" s="32" t="s">
        <v>701</v>
      </c>
      <c r="BZ1135" s="32">
        <v>1210401</v>
      </c>
      <c r="CA1135" s="354">
        <v>1990</v>
      </c>
    </row>
    <row r="1136" spans="74:79" x14ac:dyDescent="0.25">
      <c r="BW1136" s="32" t="s">
        <v>114</v>
      </c>
      <c r="BX1136" s="32" t="s">
        <v>730</v>
      </c>
      <c r="BY1136" s="32" t="s">
        <v>685</v>
      </c>
      <c r="BZ1136" s="32">
        <v>1210401</v>
      </c>
      <c r="CA1136" s="354">
        <v>1762</v>
      </c>
    </row>
    <row r="1137" spans="75:79" x14ac:dyDescent="0.25">
      <c r="BW1137" s="32" t="s">
        <v>114</v>
      </c>
      <c r="BX1137" s="32" t="s">
        <v>730</v>
      </c>
      <c r="BY1137" s="32" t="s">
        <v>688</v>
      </c>
      <c r="BZ1137" s="32">
        <v>1210401</v>
      </c>
      <c r="CA1137" s="354">
        <v>1813</v>
      </c>
    </row>
    <row r="1138" spans="75:79" x14ac:dyDescent="0.25">
      <c r="BW1138" s="32" t="s">
        <v>114</v>
      </c>
      <c r="BX1138" s="32" t="s">
        <v>730</v>
      </c>
      <c r="BY1138" s="32" t="s">
        <v>692</v>
      </c>
      <c r="BZ1138" s="32">
        <v>1210401</v>
      </c>
      <c r="CA1138" s="354">
        <v>1901</v>
      </c>
    </row>
    <row r="1139" spans="75:79" x14ac:dyDescent="0.25">
      <c r="BW1139" s="32" t="s">
        <v>114</v>
      </c>
      <c r="BX1139" s="32" t="s">
        <v>730</v>
      </c>
      <c r="BY1139" s="32" t="s">
        <v>697</v>
      </c>
      <c r="BZ1139" s="32">
        <v>1210401</v>
      </c>
      <c r="CA1139" s="354">
        <v>1973</v>
      </c>
    </row>
    <row r="1140" spans="75:79" x14ac:dyDescent="0.25">
      <c r="BW1140" s="32" t="s">
        <v>114</v>
      </c>
      <c r="BX1140" s="32" t="s">
        <v>730</v>
      </c>
      <c r="BY1140" s="32" t="s">
        <v>702</v>
      </c>
      <c r="BZ1140" s="32">
        <v>1210401</v>
      </c>
      <c r="CA1140" s="354">
        <v>1990</v>
      </c>
    </row>
    <row r="1141" spans="75:79" x14ac:dyDescent="0.25">
      <c r="BW1141" s="32" t="s">
        <v>114</v>
      </c>
      <c r="BX1141" s="32" t="s">
        <v>730</v>
      </c>
      <c r="BY1141" s="32" t="s">
        <v>689</v>
      </c>
      <c r="BZ1141" s="32">
        <v>1210401</v>
      </c>
      <c r="CA1141" s="354">
        <v>1873</v>
      </c>
    </row>
    <row r="1142" spans="75:79" x14ac:dyDescent="0.25">
      <c r="BW1142" s="32" t="s">
        <v>114</v>
      </c>
      <c r="BX1142" s="32" t="s">
        <v>730</v>
      </c>
      <c r="BY1142" s="32" t="s">
        <v>693</v>
      </c>
      <c r="BZ1142" s="32">
        <v>1210401</v>
      </c>
      <c r="CA1142" s="354">
        <v>1901</v>
      </c>
    </row>
    <row r="1143" spans="75:79" x14ac:dyDescent="0.25">
      <c r="BW1143" s="32" t="s">
        <v>114</v>
      </c>
      <c r="BX1143" s="32" t="s">
        <v>730</v>
      </c>
      <c r="BY1143" s="32" t="s">
        <v>698</v>
      </c>
      <c r="BZ1143" s="32">
        <v>1210401</v>
      </c>
      <c r="CA1143" s="354">
        <v>1973</v>
      </c>
    </row>
    <row r="1144" spans="75:79" x14ac:dyDescent="0.25">
      <c r="BW1144" s="32" t="s">
        <v>114</v>
      </c>
      <c r="BX1144" s="32" t="s">
        <v>730</v>
      </c>
      <c r="BY1144" s="32" t="s">
        <v>694</v>
      </c>
      <c r="BZ1144" s="32">
        <v>1210401</v>
      </c>
      <c r="CA1144" s="354">
        <v>1901</v>
      </c>
    </row>
    <row r="1145" spans="75:79" x14ac:dyDescent="0.25">
      <c r="BW1145" s="32" t="s">
        <v>114</v>
      </c>
      <c r="BX1145" s="32" t="s">
        <v>730</v>
      </c>
      <c r="BY1145" s="32" t="s">
        <v>699</v>
      </c>
      <c r="BZ1145" s="32">
        <v>1210401</v>
      </c>
      <c r="CA1145" s="354">
        <v>2090</v>
      </c>
    </row>
    <row r="1146" spans="75:79" x14ac:dyDescent="0.25">
      <c r="BW1146" s="32" t="s">
        <v>114</v>
      </c>
      <c r="BX1146" s="32" t="s">
        <v>730</v>
      </c>
      <c r="BY1146" s="32" t="s">
        <v>703</v>
      </c>
      <c r="BZ1146" s="32">
        <v>1210401</v>
      </c>
      <c r="CA1146" s="354">
        <v>1075</v>
      </c>
    </row>
    <row r="1147" spans="75:79" x14ac:dyDescent="0.25">
      <c r="BW1147" s="32" t="s">
        <v>114</v>
      </c>
      <c r="BX1147" s="32" t="s">
        <v>730</v>
      </c>
      <c r="BY1147" s="32" t="s">
        <v>704</v>
      </c>
      <c r="BZ1147" s="32">
        <v>1210401</v>
      </c>
      <c r="CA1147" s="354">
        <v>1075</v>
      </c>
    </row>
    <row r="1148" spans="75:79" x14ac:dyDescent="0.25">
      <c r="BW1148" s="32" t="s">
        <v>114</v>
      </c>
      <c r="BX1148" s="32" t="s">
        <v>730</v>
      </c>
      <c r="BY1148" s="32" t="s">
        <v>706</v>
      </c>
      <c r="BZ1148" s="32">
        <v>1210401</v>
      </c>
      <c r="CA1148" s="354">
        <v>1111</v>
      </c>
    </row>
    <row r="1149" spans="75:79" x14ac:dyDescent="0.25">
      <c r="BW1149" s="32" t="s">
        <v>114</v>
      </c>
      <c r="BX1149" s="32" t="s">
        <v>730</v>
      </c>
      <c r="BY1149" s="32" t="s">
        <v>708</v>
      </c>
      <c r="BZ1149" s="32">
        <v>1210401</v>
      </c>
      <c r="CA1149" s="354">
        <v>1111</v>
      </c>
    </row>
    <row r="1150" spans="75:79" x14ac:dyDescent="0.25">
      <c r="BW1150" s="32" t="s">
        <v>114</v>
      </c>
      <c r="BX1150" s="32" t="s">
        <v>730</v>
      </c>
      <c r="BY1150" s="32" t="s">
        <v>705</v>
      </c>
      <c r="BZ1150" s="32">
        <v>1210401</v>
      </c>
      <c r="CA1150" s="354">
        <v>1075</v>
      </c>
    </row>
    <row r="1151" spans="75:79" x14ac:dyDescent="0.25">
      <c r="BW1151" s="32" t="s">
        <v>114</v>
      </c>
      <c r="BX1151" s="32" t="s">
        <v>730</v>
      </c>
      <c r="BY1151" s="32" t="s">
        <v>707</v>
      </c>
      <c r="BZ1151" s="32">
        <v>1210401</v>
      </c>
      <c r="CA1151" s="354">
        <v>1111</v>
      </c>
    </row>
    <row r="1152" spans="75:79" x14ac:dyDescent="0.25">
      <c r="BW1152" s="32" t="s">
        <v>114</v>
      </c>
      <c r="BX1152" s="32" t="s">
        <v>730</v>
      </c>
      <c r="BY1152" s="32" t="s">
        <v>709</v>
      </c>
      <c r="BZ1152" s="32">
        <v>1210401</v>
      </c>
      <c r="CA1152" s="354">
        <v>1111</v>
      </c>
    </row>
    <row r="1153" spans="75:79" x14ac:dyDescent="0.25">
      <c r="BW1153" s="32" t="s">
        <v>114</v>
      </c>
      <c r="BX1153" s="32" t="s">
        <v>730</v>
      </c>
      <c r="BY1153" s="32" t="s">
        <v>710</v>
      </c>
      <c r="BZ1153" s="32">
        <v>1210401</v>
      </c>
      <c r="CA1153" s="354">
        <v>1111</v>
      </c>
    </row>
    <row r="1154" spans="75:79" x14ac:dyDescent="0.25">
      <c r="BW1154" s="32" t="s">
        <v>114</v>
      </c>
      <c r="BX1154" s="32" t="s">
        <v>730</v>
      </c>
      <c r="BY1154" s="32" t="s">
        <v>711</v>
      </c>
      <c r="BZ1154" s="32">
        <v>1210401</v>
      </c>
      <c r="CA1154" s="354">
        <v>1111</v>
      </c>
    </row>
    <row r="1155" spans="75:79" x14ac:dyDescent="0.25">
      <c r="BW1155" s="32" t="s">
        <v>114</v>
      </c>
      <c r="BX1155" s="32" t="s">
        <v>730</v>
      </c>
      <c r="BY1155" s="32" t="s">
        <v>712</v>
      </c>
      <c r="BZ1155" s="32">
        <v>1210401</v>
      </c>
      <c r="CA1155" s="354">
        <v>1287</v>
      </c>
    </row>
    <row r="1156" spans="75:79" x14ac:dyDescent="0.25">
      <c r="BW1156" s="32" t="s">
        <v>114</v>
      </c>
      <c r="BX1156" s="32" t="s">
        <v>730</v>
      </c>
      <c r="BY1156" s="32" t="s">
        <v>733</v>
      </c>
      <c r="BZ1156" s="32">
        <v>1210401</v>
      </c>
      <c r="CA1156" s="354">
        <v>890</v>
      </c>
    </row>
    <row r="1157" spans="75:79" x14ac:dyDescent="0.25">
      <c r="BW1157" s="32" t="s">
        <v>114</v>
      </c>
      <c r="BX1157" s="32" t="s">
        <v>730</v>
      </c>
      <c r="BY1157" s="32" t="s">
        <v>679</v>
      </c>
      <c r="BZ1157" s="32">
        <v>1210401</v>
      </c>
      <c r="CA1157" s="354">
        <v>840</v>
      </c>
    </row>
    <row r="1158" spans="75:79" x14ac:dyDescent="0.25">
      <c r="BW1158" s="32" t="s">
        <v>114</v>
      </c>
      <c r="BX1158" s="32" t="s">
        <v>730</v>
      </c>
      <c r="BY1158" s="32" t="s">
        <v>739</v>
      </c>
      <c r="BZ1158" s="32">
        <v>1210401</v>
      </c>
      <c r="CA1158" s="354">
        <v>870</v>
      </c>
    </row>
    <row r="1159" spans="75:79" x14ac:dyDescent="0.25">
      <c r="BW1159" s="32" t="s">
        <v>114</v>
      </c>
      <c r="BX1159" s="32" t="s">
        <v>730</v>
      </c>
      <c r="BY1159" s="32" t="s">
        <v>740</v>
      </c>
      <c r="BZ1159" s="32">
        <v>1210401</v>
      </c>
      <c r="CA1159" s="354">
        <v>860</v>
      </c>
    </row>
    <row r="1160" spans="75:79" x14ac:dyDescent="0.25">
      <c r="BW1160" s="32" t="s">
        <v>114</v>
      </c>
      <c r="BX1160" s="32" t="s">
        <v>730</v>
      </c>
      <c r="BY1160" s="32" t="s">
        <v>677</v>
      </c>
      <c r="BZ1160" s="32">
        <v>1210401</v>
      </c>
      <c r="CA1160" s="354">
        <v>870</v>
      </c>
    </row>
    <row r="1161" spans="75:79" x14ac:dyDescent="0.25">
      <c r="BW1161" s="32" t="s">
        <v>114</v>
      </c>
      <c r="BX1161" s="32" t="s">
        <v>730</v>
      </c>
      <c r="BY1161" s="32" t="s">
        <v>681</v>
      </c>
      <c r="BZ1161" s="32">
        <v>1210401</v>
      </c>
      <c r="CA1161" s="354">
        <v>860</v>
      </c>
    </row>
    <row r="1162" spans="75:79" x14ac:dyDescent="0.25">
      <c r="BW1162" s="32" t="s">
        <v>114</v>
      </c>
      <c r="BX1162" s="32" t="s">
        <v>730</v>
      </c>
      <c r="BY1162" s="32" t="s">
        <v>1208</v>
      </c>
      <c r="BZ1162" s="32">
        <v>1210401</v>
      </c>
      <c r="CA1162" s="354">
        <v>870</v>
      </c>
    </row>
    <row r="1163" spans="75:79" x14ac:dyDescent="0.25">
      <c r="BW1163" s="32" t="s">
        <v>114</v>
      </c>
      <c r="BX1163" s="32" t="s">
        <v>730</v>
      </c>
      <c r="BY1163" s="32" t="s">
        <v>1209</v>
      </c>
      <c r="BZ1163" s="32">
        <v>1210401</v>
      </c>
      <c r="CA1163" s="354">
        <v>860</v>
      </c>
    </row>
    <row r="1164" spans="75:79" x14ac:dyDescent="0.25">
      <c r="BW1164" s="32" t="s">
        <v>114</v>
      </c>
      <c r="BX1164" s="32" t="s">
        <v>730</v>
      </c>
      <c r="BY1164" s="32" t="s">
        <v>675</v>
      </c>
      <c r="BZ1164" s="32">
        <v>1210401</v>
      </c>
      <c r="CA1164" s="354">
        <v>916</v>
      </c>
    </row>
    <row r="1165" spans="75:79" x14ac:dyDescent="0.25">
      <c r="BW1165" s="32" t="s">
        <v>114</v>
      </c>
      <c r="BX1165" s="32" t="s">
        <v>730</v>
      </c>
      <c r="BY1165" s="32" t="s">
        <v>676</v>
      </c>
      <c r="BZ1165" s="32">
        <v>1210401</v>
      </c>
      <c r="CA1165" s="354">
        <v>916</v>
      </c>
    </row>
    <row r="1166" spans="75:79" x14ac:dyDescent="0.25">
      <c r="BW1166" s="32" t="s">
        <v>114</v>
      </c>
      <c r="BX1166" s="32" t="s">
        <v>730</v>
      </c>
      <c r="BY1166" s="32" t="s">
        <v>680</v>
      </c>
      <c r="BZ1166" s="32">
        <v>1210401</v>
      </c>
      <c r="CA1166" s="354">
        <v>870</v>
      </c>
    </row>
    <row r="1167" spans="75:79" x14ac:dyDescent="0.25">
      <c r="BW1167" s="32" t="s">
        <v>114</v>
      </c>
      <c r="BX1167" s="32" t="s">
        <v>730</v>
      </c>
      <c r="BY1167" s="32" t="s">
        <v>682</v>
      </c>
      <c r="BZ1167" s="32">
        <v>1210401</v>
      </c>
      <c r="CA1167" s="354">
        <v>860</v>
      </c>
    </row>
    <row r="1168" spans="75:79" x14ac:dyDescent="0.25">
      <c r="BW1168" s="32" t="s">
        <v>114</v>
      </c>
      <c r="BX1168" s="32" t="s">
        <v>730</v>
      </c>
      <c r="BY1168" s="32" t="s">
        <v>678</v>
      </c>
      <c r="BZ1168" s="32">
        <v>1210401</v>
      </c>
      <c r="CA1168" s="354">
        <v>880</v>
      </c>
    </row>
    <row r="1169" spans="75:79" x14ac:dyDescent="0.25">
      <c r="BW1169" s="32" t="s">
        <v>114</v>
      </c>
      <c r="BX1169" s="32" t="s">
        <v>730</v>
      </c>
      <c r="BY1169" s="32" t="s">
        <v>713</v>
      </c>
      <c r="BZ1169" s="32">
        <v>1210401</v>
      </c>
      <c r="CA1169" s="354">
        <v>798</v>
      </c>
    </row>
    <row r="1170" spans="75:79" x14ac:dyDescent="0.25">
      <c r="BW1170" s="32" t="s">
        <v>114</v>
      </c>
      <c r="BX1170" s="32" t="s">
        <v>730</v>
      </c>
      <c r="BY1170" s="32" t="s">
        <v>715</v>
      </c>
      <c r="BZ1170" s="32">
        <v>1210401</v>
      </c>
      <c r="CA1170" s="354">
        <v>869</v>
      </c>
    </row>
    <row r="1171" spans="75:79" x14ac:dyDescent="0.25">
      <c r="BW1171" s="32" t="s">
        <v>114</v>
      </c>
      <c r="BX1171" s="32" t="s">
        <v>730</v>
      </c>
      <c r="BY1171" s="32" t="s">
        <v>718</v>
      </c>
      <c r="BZ1171" s="32">
        <v>1210401</v>
      </c>
      <c r="CA1171" s="354">
        <v>976</v>
      </c>
    </row>
    <row r="1172" spans="75:79" x14ac:dyDescent="0.25">
      <c r="BW1172" s="32" t="s">
        <v>114</v>
      </c>
      <c r="BX1172" s="32" t="s">
        <v>730</v>
      </c>
      <c r="BY1172" s="32" t="s">
        <v>714</v>
      </c>
      <c r="BZ1172" s="32">
        <v>1210401</v>
      </c>
      <c r="CA1172" s="354">
        <v>798</v>
      </c>
    </row>
    <row r="1173" spans="75:79" x14ac:dyDescent="0.25">
      <c r="BW1173" s="32" t="s">
        <v>114</v>
      </c>
      <c r="BX1173" s="32" t="s">
        <v>730</v>
      </c>
      <c r="BY1173" s="32" t="s">
        <v>716</v>
      </c>
      <c r="BZ1173" s="32">
        <v>1210401</v>
      </c>
      <c r="CA1173" s="354">
        <v>869</v>
      </c>
    </row>
    <row r="1174" spans="75:79" x14ac:dyDescent="0.25">
      <c r="BW1174" s="32" t="s">
        <v>114</v>
      </c>
      <c r="BX1174" s="32" t="s">
        <v>730</v>
      </c>
      <c r="BY1174" s="32" t="s">
        <v>719</v>
      </c>
      <c r="BZ1174" s="32">
        <v>1210401</v>
      </c>
      <c r="CA1174" s="354">
        <v>976</v>
      </c>
    </row>
    <row r="1175" spans="75:79" x14ac:dyDescent="0.25">
      <c r="BW1175" s="32" t="s">
        <v>114</v>
      </c>
      <c r="BX1175" s="32" t="s">
        <v>730</v>
      </c>
      <c r="BY1175" s="32" t="s">
        <v>717</v>
      </c>
      <c r="BZ1175" s="32">
        <v>1210401</v>
      </c>
      <c r="CA1175" s="354">
        <v>869</v>
      </c>
    </row>
    <row r="1176" spans="75:79" x14ac:dyDescent="0.25">
      <c r="BW1176" s="32" t="s">
        <v>114</v>
      </c>
      <c r="BX1176" s="32" t="s">
        <v>730</v>
      </c>
      <c r="BY1176" s="32" t="s">
        <v>720</v>
      </c>
      <c r="BZ1176" s="32">
        <v>1210401</v>
      </c>
      <c r="CA1176" s="354">
        <v>976</v>
      </c>
    </row>
    <row r="1177" spans="75:79" x14ac:dyDescent="0.25">
      <c r="BW1177" s="32" t="s">
        <v>114</v>
      </c>
      <c r="BX1177" s="32" t="s">
        <v>730</v>
      </c>
      <c r="BY1177" s="32" t="s">
        <v>723</v>
      </c>
      <c r="BZ1177" s="32">
        <v>1210401</v>
      </c>
      <c r="CA1177" s="354">
        <v>1088</v>
      </c>
    </row>
    <row r="1178" spans="75:79" x14ac:dyDescent="0.25">
      <c r="BW1178" s="32" t="s">
        <v>114</v>
      </c>
      <c r="BX1178" s="32" t="s">
        <v>730</v>
      </c>
      <c r="BY1178" s="32" t="s">
        <v>721</v>
      </c>
      <c r="BZ1178" s="32">
        <v>1210401</v>
      </c>
      <c r="CA1178" s="354">
        <v>976</v>
      </c>
    </row>
    <row r="1179" spans="75:79" x14ac:dyDescent="0.25">
      <c r="BW1179" s="32" t="s">
        <v>114</v>
      </c>
      <c r="BX1179" s="32" t="s">
        <v>730</v>
      </c>
      <c r="BY1179" s="32" t="s">
        <v>724</v>
      </c>
      <c r="BZ1179" s="32">
        <v>1210401</v>
      </c>
      <c r="CA1179" s="354">
        <v>1088</v>
      </c>
    </row>
    <row r="1180" spans="75:79" x14ac:dyDescent="0.25">
      <c r="BW1180" s="32" t="s">
        <v>114</v>
      </c>
      <c r="BX1180" s="32" t="s">
        <v>730</v>
      </c>
      <c r="BY1180" s="355" t="s">
        <v>726</v>
      </c>
      <c r="BZ1180" s="32">
        <v>1210401</v>
      </c>
      <c r="CA1180" s="354">
        <v>1088</v>
      </c>
    </row>
    <row r="1181" spans="75:79" x14ac:dyDescent="0.25">
      <c r="BW1181" s="32" t="s">
        <v>114</v>
      </c>
      <c r="BX1181" s="32" t="s">
        <v>730</v>
      </c>
      <c r="BY1181" s="32" t="s">
        <v>722</v>
      </c>
      <c r="BZ1181" s="32">
        <v>1210401</v>
      </c>
      <c r="CA1181" s="354">
        <v>976</v>
      </c>
    </row>
    <row r="1182" spans="75:79" x14ac:dyDescent="0.25">
      <c r="BW1182" s="32" t="s">
        <v>114</v>
      </c>
      <c r="BX1182" s="32" t="s">
        <v>730</v>
      </c>
      <c r="BY1182" s="32" t="s">
        <v>725</v>
      </c>
      <c r="BZ1182" s="32">
        <v>1210401</v>
      </c>
      <c r="CA1182" s="354">
        <v>1088</v>
      </c>
    </row>
    <row r="1183" spans="75:79" x14ac:dyDescent="0.25">
      <c r="BW1183" s="32" t="s">
        <v>114</v>
      </c>
      <c r="BX1183" s="32" t="s">
        <v>730</v>
      </c>
      <c r="BY1183" s="32" t="s">
        <v>727</v>
      </c>
      <c r="BZ1183" s="32">
        <v>1210401</v>
      </c>
      <c r="CA1183" s="354">
        <v>1088</v>
      </c>
    </row>
    <row r="1184" spans="75:79" x14ac:dyDescent="0.25">
      <c r="BW1184" s="32" t="s">
        <v>114</v>
      </c>
      <c r="BX1184" s="32" t="s">
        <v>730</v>
      </c>
      <c r="BY1184" s="355" t="s">
        <v>728</v>
      </c>
      <c r="BZ1184" s="32">
        <v>1210401</v>
      </c>
      <c r="CA1184" s="354">
        <v>1088</v>
      </c>
    </row>
    <row r="1185" spans="75:79" x14ac:dyDescent="0.25">
      <c r="BW1185" s="32" t="s">
        <v>114</v>
      </c>
      <c r="BX1185" s="32" t="s">
        <v>730</v>
      </c>
      <c r="BY1185" s="32" t="s">
        <v>729</v>
      </c>
      <c r="BZ1185" s="32">
        <v>1210401</v>
      </c>
      <c r="CA1185" s="354">
        <v>1088</v>
      </c>
    </row>
    <row r="1186" spans="75:79" x14ac:dyDescent="0.25">
      <c r="BW1186" s="32" t="s">
        <v>114</v>
      </c>
      <c r="BX1186" s="32" t="s">
        <v>730</v>
      </c>
      <c r="BY1186" s="32" t="s">
        <v>734</v>
      </c>
      <c r="BZ1186" s="32">
        <v>1210401</v>
      </c>
      <c r="CA1186" s="354">
        <v>1088</v>
      </c>
    </row>
    <row r="1187" spans="75:79" x14ac:dyDescent="0.25">
      <c r="BW1187" s="32" t="s">
        <v>114</v>
      </c>
      <c r="BX1187" s="32" t="s">
        <v>730</v>
      </c>
      <c r="BY1187" s="32" t="s">
        <v>735</v>
      </c>
      <c r="BZ1187" s="32">
        <v>1210401</v>
      </c>
      <c r="CA1187" s="354">
        <v>661</v>
      </c>
    </row>
    <row r="1188" spans="75:79" x14ac:dyDescent="0.25">
      <c r="BW1188" s="32" t="s">
        <v>114</v>
      </c>
      <c r="BX1188" s="32" t="s">
        <v>730</v>
      </c>
      <c r="BY1188" s="32" t="s">
        <v>736</v>
      </c>
      <c r="BZ1188" s="32">
        <v>1210401</v>
      </c>
      <c r="CA1188" s="354">
        <v>661</v>
      </c>
    </row>
    <row r="1189" spans="75:79" x14ac:dyDescent="0.25">
      <c r="BW1189" s="32" t="s">
        <v>114</v>
      </c>
      <c r="BX1189" s="32" t="s">
        <v>730</v>
      </c>
      <c r="BY1189" s="32" t="s">
        <v>668</v>
      </c>
      <c r="BZ1189" s="32">
        <v>1210401</v>
      </c>
      <c r="CA1189" s="354">
        <v>781</v>
      </c>
    </row>
    <row r="1190" spans="75:79" x14ac:dyDescent="0.25">
      <c r="BW1190" s="32" t="s">
        <v>114</v>
      </c>
      <c r="BX1190" s="32" t="s">
        <v>730</v>
      </c>
      <c r="BY1190" s="32" t="s">
        <v>664</v>
      </c>
      <c r="BZ1190" s="32">
        <v>1210401</v>
      </c>
      <c r="CA1190" s="354">
        <v>661</v>
      </c>
    </row>
    <row r="1191" spans="75:79" x14ac:dyDescent="0.25">
      <c r="BW1191" s="32" t="s">
        <v>114</v>
      </c>
      <c r="BX1191" s="32" t="s">
        <v>730</v>
      </c>
      <c r="BY1191" s="32" t="s">
        <v>666</v>
      </c>
      <c r="BZ1191" s="32">
        <v>1210401</v>
      </c>
      <c r="CA1191" s="354">
        <v>661</v>
      </c>
    </row>
    <row r="1192" spans="75:79" x14ac:dyDescent="0.25">
      <c r="BW1192" s="32" t="s">
        <v>114</v>
      </c>
      <c r="BX1192" s="32" t="s">
        <v>730</v>
      </c>
      <c r="BY1192" s="32" t="s">
        <v>674</v>
      </c>
      <c r="BZ1192" s="32">
        <v>1210401</v>
      </c>
      <c r="CA1192" s="354">
        <v>781</v>
      </c>
    </row>
    <row r="1193" spans="75:79" x14ac:dyDescent="0.25">
      <c r="BW1193" s="32" t="s">
        <v>114</v>
      </c>
      <c r="BX1193" s="32" t="s">
        <v>730</v>
      </c>
      <c r="BY1193" s="32" t="s">
        <v>669</v>
      </c>
      <c r="BZ1193" s="32">
        <v>1210401</v>
      </c>
      <c r="CA1193" s="354">
        <v>781</v>
      </c>
    </row>
    <row r="1194" spans="75:79" x14ac:dyDescent="0.25">
      <c r="BW1194" s="32" t="s">
        <v>114</v>
      </c>
      <c r="BX1194" s="32" t="s">
        <v>730</v>
      </c>
      <c r="BY1194" s="32" t="s">
        <v>671</v>
      </c>
      <c r="BZ1194" s="32">
        <v>1210401</v>
      </c>
      <c r="CA1194" s="354">
        <v>798</v>
      </c>
    </row>
    <row r="1195" spans="75:79" x14ac:dyDescent="0.25">
      <c r="BW1195" s="32" t="s">
        <v>114</v>
      </c>
      <c r="BX1195" s="32" t="s">
        <v>730</v>
      </c>
      <c r="BY1195" s="32" t="s">
        <v>665</v>
      </c>
      <c r="BZ1195" s="32">
        <v>1210401</v>
      </c>
      <c r="CA1195" s="354">
        <v>661</v>
      </c>
    </row>
    <row r="1196" spans="75:79" x14ac:dyDescent="0.25">
      <c r="BW1196" s="32" t="s">
        <v>114</v>
      </c>
      <c r="BX1196" s="32" t="s">
        <v>730</v>
      </c>
      <c r="BY1196" s="32" t="s">
        <v>667</v>
      </c>
      <c r="BZ1196" s="32">
        <v>1210401</v>
      </c>
      <c r="CA1196" s="354">
        <v>661</v>
      </c>
    </row>
    <row r="1197" spans="75:79" x14ac:dyDescent="0.25">
      <c r="BW1197" s="32" t="s">
        <v>114</v>
      </c>
      <c r="BX1197" s="32" t="s">
        <v>730</v>
      </c>
      <c r="BY1197" s="32" t="s">
        <v>670</v>
      </c>
      <c r="BZ1197" s="32">
        <v>1210401</v>
      </c>
      <c r="CA1197" s="354">
        <v>781</v>
      </c>
    </row>
    <row r="1198" spans="75:79" x14ac:dyDescent="0.25">
      <c r="BW1198" s="32" t="s">
        <v>114</v>
      </c>
      <c r="BX1198" s="32" t="s">
        <v>730</v>
      </c>
      <c r="BY1198" s="32" t="s">
        <v>672</v>
      </c>
      <c r="BZ1198" s="32">
        <v>1210401</v>
      </c>
      <c r="CA1198" s="354">
        <v>798</v>
      </c>
    </row>
    <row r="1199" spans="75:79" x14ac:dyDescent="0.25">
      <c r="BW1199" s="32" t="s">
        <v>114</v>
      </c>
      <c r="BX1199" s="32" t="s">
        <v>730</v>
      </c>
      <c r="BY1199" s="32" t="s">
        <v>673</v>
      </c>
      <c r="BZ1199" s="32">
        <v>1210401</v>
      </c>
      <c r="CA1199" s="354">
        <v>869</v>
      </c>
    </row>
    <row r="1200" spans="75:79" x14ac:dyDescent="0.25">
      <c r="BW1200" s="32" t="s">
        <v>114</v>
      </c>
      <c r="BX1200" s="32" t="s">
        <v>730</v>
      </c>
      <c r="BY1200" s="32" t="s">
        <v>737</v>
      </c>
      <c r="BZ1200" s="32">
        <v>1210401</v>
      </c>
      <c r="CA1200" s="354">
        <v>976</v>
      </c>
    </row>
    <row r="1201" spans="75:79" x14ac:dyDescent="0.25">
      <c r="BW1201" s="32" t="s">
        <v>114</v>
      </c>
      <c r="BX1201" s="32" t="s">
        <v>731</v>
      </c>
      <c r="BY1201" s="32" t="s">
        <v>683</v>
      </c>
      <c r="BZ1201" s="32">
        <v>1210401</v>
      </c>
      <c r="CA1201" s="356">
        <v>2546</v>
      </c>
    </row>
    <row r="1202" spans="75:79" x14ac:dyDescent="0.25">
      <c r="BW1202" s="32" t="s">
        <v>114</v>
      </c>
      <c r="BX1202" s="32" t="s">
        <v>731</v>
      </c>
      <c r="BY1202" s="32" t="s">
        <v>686</v>
      </c>
      <c r="BZ1202" s="32">
        <v>1210401</v>
      </c>
      <c r="CA1202" s="356">
        <v>2567</v>
      </c>
    </row>
    <row r="1203" spans="75:79" x14ac:dyDescent="0.25">
      <c r="BW1203" s="32" t="s">
        <v>114</v>
      </c>
      <c r="BX1203" s="32" t="s">
        <v>731</v>
      </c>
      <c r="BY1203" s="32" t="s">
        <v>690</v>
      </c>
      <c r="BZ1203" s="32">
        <v>1210401</v>
      </c>
      <c r="CA1203" s="356">
        <v>2577</v>
      </c>
    </row>
    <row r="1204" spans="75:79" x14ac:dyDescent="0.25">
      <c r="BW1204" s="32" t="s">
        <v>114</v>
      </c>
      <c r="BX1204" s="32" t="s">
        <v>731</v>
      </c>
      <c r="BY1204" s="32" t="s">
        <v>695</v>
      </c>
      <c r="BZ1204" s="32">
        <v>1210401</v>
      </c>
      <c r="CA1204" s="356">
        <v>2719</v>
      </c>
    </row>
    <row r="1205" spans="75:79" x14ac:dyDescent="0.25">
      <c r="BW1205" s="32" t="s">
        <v>114</v>
      </c>
      <c r="BX1205" s="32" t="s">
        <v>731</v>
      </c>
      <c r="BY1205" s="32" t="s">
        <v>700</v>
      </c>
      <c r="BZ1205" s="32">
        <v>1210401</v>
      </c>
      <c r="CA1205" s="356">
        <v>2740</v>
      </c>
    </row>
    <row r="1206" spans="75:79" x14ac:dyDescent="0.25">
      <c r="BW1206" s="32" t="s">
        <v>114</v>
      </c>
      <c r="BX1206" s="32" t="s">
        <v>731</v>
      </c>
      <c r="BY1206" s="32" t="s">
        <v>684</v>
      </c>
      <c r="BZ1206" s="32">
        <v>1210401</v>
      </c>
      <c r="CA1206" s="356">
        <v>2546</v>
      </c>
    </row>
    <row r="1207" spans="75:79" x14ac:dyDescent="0.25">
      <c r="BW1207" s="32" t="s">
        <v>114</v>
      </c>
      <c r="BX1207" s="32" t="s">
        <v>731</v>
      </c>
      <c r="BY1207" s="32" t="s">
        <v>687</v>
      </c>
      <c r="BZ1207" s="32">
        <v>1210401</v>
      </c>
      <c r="CA1207" s="356">
        <v>2567</v>
      </c>
    </row>
    <row r="1208" spans="75:79" x14ac:dyDescent="0.25">
      <c r="BW1208" s="32" t="s">
        <v>114</v>
      </c>
      <c r="BX1208" s="32" t="s">
        <v>731</v>
      </c>
      <c r="BY1208" s="32" t="s">
        <v>691</v>
      </c>
      <c r="BZ1208" s="32">
        <v>1210401</v>
      </c>
      <c r="CA1208" s="356">
        <v>2577</v>
      </c>
    </row>
    <row r="1209" spans="75:79" x14ac:dyDescent="0.25">
      <c r="BW1209" s="32" t="s">
        <v>114</v>
      </c>
      <c r="BX1209" s="32" t="s">
        <v>731</v>
      </c>
      <c r="BY1209" s="32" t="s">
        <v>696</v>
      </c>
      <c r="BZ1209" s="32">
        <v>1210401</v>
      </c>
      <c r="CA1209" s="356">
        <v>2719</v>
      </c>
    </row>
    <row r="1210" spans="75:79" x14ac:dyDescent="0.25">
      <c r="BW1210" s="32" t="s">
        <v>114</v>
      </c>
      <c r="BX1210" s="32" t="s">
        <v>731</v>
      </c>
      <c r="BY1210" s="32" t="s">
        <v>701</v>
      </c>
      <c r="BZ1210" s="32">
        <v>1210401</v>
      </c>
      <c r="CA1210" s="356">
        <v>2740</v>
      </c>
    </row>
    <row r="1211" spans="75:79" x14ac:dyDescent="0.25">
      <c r="BW1211" s="32" t="s">
        <v>114</v>
      </c>
      <c r="BX1211" s="32" t="s">
        <v>731</v>
      </c>
      <c r="BY1211" s="32" t="s">
        <v>685</v>
      </c>
      <c r="BZ1211" s="32">
        <v>1210401</v>
      </c>
      <c r="CA1211" s="356">
        <v>2546</v>
      </c>
    </row>
    <row r="1212" spans="75:79" x14ac:dyDescent="0.25">
      <c r="BW1212" s="32" t="s">
        <v>114</v>
      </c>
      <c r="BX1212" s="32" t="s">
        <v>731</v>
      </c>
      <c r="BY1212" s="32" t="s">
        <v>688</v>
      </c>
      <c r="BZ1212" s="32">
        <v>1210401</v>
      </c>
      <c r="CA1212" s="356">
        <v>2567</v>
      </c>
    </row>
    <row r="1213" spans="75:79" x14ac:dyDescent="0.25">
      <c r="BW1213" s="32" t="s">
        <v>114</v>
      </c>
      <c r="BX1213" s="32" t="s">
        <v>731</v>
      </c>
      <c r="BY1213" s="32" t="s">
        <v>692</v>
      </c>
      <c r="BZ1213" s="32">
        <v>1210401</v>
      </c>
      <c r="CA1213" s="356">
        <v>2577</v>
      </c>
    </row>
    <row r="1214" spans="75:79" x14ac:dyDescent="0.25">
      <c r="BW1214" s="32" t="s">
        <v>114</v>
      </c>
      <c r="BX1214" s="32" t="s">
        <v>731</v>
      </c>
      <c r="BY1214" s="32" t="s">
        <v>697</v>
      </c>
      <c r="BZ1214" s="32">
        <v>1210401</v>
      </c>
      <c r="CA1214" s="356">
        <v>2719</v>
      </c>
    </row>
    <row r="1215" spans="75:79" x14ac:dyDescent="0.25">
      <c r="BW1215" s="32" t="s">
        <v>114</v>
      </c>
      <c r="BX1215" s="32" t="s">
        <v>731</v>
      </c>
      <c r="BY1215" s="32" t="s">
        <v>702</v>
      </c>
      <c r="BZ1215" s="32">
        <v>1210401</v>
      </c>
      <c r="CA1215" s="356">
        <v>2740</v>
      </c>
    </row>
    <row r="1216" spans="75:79" x14ac:dyDescent="0.25">
      <c r="BW1216" s="32" t="s">
        <v>114</v>
      </c>
      <c r="BX1216" s="32" t="s">
        <v>731</v>
      </c>
      <c r="BY1216" s="32" t="s">
        <v>689</v>
      </c>
      <c r="BZ1216" s="32">
        <v>1210401</v>
      </c>
      <c r="CA1216" s="356">
        <v>2567</v>
      </c>
    </row>
    <row r="1217" spans="75:79" x14ac:dyDescent="0.25">
      <c r="BW1217" s="32" t="s">
        <v>114</v>
      </c>
      <c r="BX1217" s="32" t="s">
        <v>731</v>
      </c>
      <c r="BY1217" s="32" t="s">
        <v>693</v>
      </c>
      <c r="BZ1217" s="32">
        <v>1210401</v>
      </c>
      <c r="CA1217" s="356">
        <v>2577</v>
      </c>
    </row>
    <row r="1218" spans="75:79" x14ac:dyDescent="0.25">
      <c r="BW1218" s="32" t="s">
        <v>114</v>
      </c>
      <c r="BX1218" s="32" t="s">
        <v>731</v>
      </c>
      <c r="BY1218" s="32" t="s">
        <v>698</v>
      </c>
      <c r="BZ1218" s="32">
        <v>1210401</v>
      </c>
      <c r="CA1218" s="356">
        <v>2719</v>
      </c>
    </row>
    <row r="1219" spans="75:79" x14ac:dyDescent="0.25">
      <c r="BW1219" s="32" t="s">
        <v>114</v>
      </c>
      <c r="BX1219" s="32" t="s">
        <v>731</v>
      </c>
      <c r="BY1219" s="32" t="s">
        <v>738</v>
      </c>
      <c r="BZ1219" s="32">
        <v>1210401</v>
      </c>
      <c r="CA1219" s="356">
        <v>2567</v>
      </c>
    </row>
    <row r="1220" spans="75:79" x14ac:dyDescent="0.25">
      <c r="BW1220" s="32" t="s">
        <v>114</v>
      </c>
      <c r="BX1220" s="32" t="s">
        <v>731</v>
      </c>
      <c r="BY1220" s="32" t="s">
        <v>694</v>
      </c>
      <c r="BZ1220" s="32">
        <v>1210401</v>
      </c>
      <c r="CA1220" s="356">
        <v>2577</v>
      </c>
    </row>
    <row r="1221" spans="75:79" x14ac:dyDescent="0.25">
      <c r="BW1221" s="32" t="s">
        <v>114</v>
      </c>
      <c r="BX1221" s="32" t="s">
        <v>731</v>
      </c>
      <c r="BY1221" s="32" t="s">
        <v>699</v>
      </c>
      <c r="BZ1221" s="32">
        <v>1210401</v>
      </c>
      <c r="CA1221" s="356">
        <v>2719</v>
      </c>
    </row>
    <row r="1222" spans="75:79" x14ac:dyDescent="0.25">
      <c r="BW1222" s="32" t="s">
        <v>114</v>
      </c>
      <c r="BX1222" s="32" t="s">
        <v>731</v>
      </c>
      <c r="BY1222" s="32" t="s">
        <v>703</v>
      </c>
      <c r="BZ1222" s="32">
        <v>1210401</v>
      </c>
      <c r="CA1222" s="356">
        <v>1590</v>
      </c>
    </row>
    <row r="1223" spans="75:79" x14ac:dyDescent="0.25">
      <c r="BW1223" s="32" t="s">
        <v>114</v>
      </c>
      <c r="BX1223" s="32" t="s">
        <v>731</v>
      </c>
      <c r="BY1223" s="32" t="s">
        <v>704</v>
      </c>
      <c r="BZ1223" s="32">
        <v>1210401</v>
      </c>
      <c r="CA1223" s="356">
        <v>1590</v>
      </c>
    </row>
    <row r="1224" spans="75:79" x14ac:dyDescent="0.25">
      <c r="BW1224" s="32" t="s">
        <v>114</v>
      </c>
      <c r="BX1224" s="32" t="s">
        <v>731</v>
      </c>
      <c r="BY1224" s="32" t="s">
        <v>706</v>
      </c>
      <c r="BZ1224" s="32">
        <v>1210401</v>
      </c>
      <c r="CA1224" s="356">
        <v>1652</v>
      </c>
    </row>
    <row r="1225" spans="75:79" x14ac:dyDescent="0.25">
      <c r="BW1225" s="32" t="s">
        <v>114</v>
      </c>
      <c r="BX1225" s="32" t="s">
        <v>731</v>
      </c>
      <c r="BY1225" s="32" t="s">
        <v>708</v>
      </c>
      <c r="BZ1225" s="32">
        <v>1210401</v>
      </c>
      <c r="CA1225" s="356">
        <v>1681</v>
      </c>
    </row>
    <row r="1226" spans="75:79" x14ac:dyDescent="0.25">
      <c r="BW1226" s="32" t="s">
        <v>114</v>
      </c>
      <c r="BX1226" s="32" t="s">
        <v>731</v>
      </c>
      <c r="BY1226" s="32" t="s">
        <v>705</v>
      </c>
      <c r="BZ1226" s="32">
        <v>1210401</v>
      </c>
      <c r="CA1226" s="356">
        <v>1590</v>
      </c>
    </row>
    <row r="1227" spans="75:79" x14ac:dyDescent="0.25">
      <c r="BW1227" s="32" t="s">
        <v>114</v>
      </c>
      <c r="BX1227" s="32" t="s">
        <v>731</v>
      </c>
      <c r="BY1227" s="32" t="s">
        <v>707</v>
      </c>
      <c r="BZ1227" s="32">
        <v>1210401</v>
      </c>
      <c r="CA1227" s="356">
        <v>1652</v>
      </c>
    </row>
    <row r="1228" spans="75:79" x14ac:dyDescent="0.25">
      <c r="BW1228" s="32" t="s">
        <v>114</v>
      </c>
      <c r="BX1228" s="32" t="s">
        <v>731</v>
      </c>
      <c r="BY1228" s="32" t="s">
        <v>709</v>
      </c>
      <c r="BZ1228" s="32">
        <v>1210401</v>
      </c>
      <c r="CA1228" s="356">
        <v>1681</v>
      </c>
    </row>
    <row r="1229" spans="75:79" x14ac:dyDescent="0.25">
      <c r="BW1229" s="32" t="s">
        <v>114</v>
      </c>
      <c r="BX1229" s="32" t="s">
        <v>731</v>
      </c>
      <c r="BY1229" s="32" t="s">
        <v>710</v>
      </c>
      <c r="BZ1229" s="32">
        <v>1210401</v>
      </c>
      <c r="CA1229" s="356">
        <v>1681</v>
      </c>
    </row>
    <row r="1230" spans="75:79" x14ac:dyDescent="0.25">
      <c r="BW1230" s="32" t="s">
        <v>114</v>
      </c>
      <c r="BX1230" s="32" t="s">
        <v>731</v>
      </c>
      <c r="BY1230" s="32" t="s">
        <v>711</v>
      </c>
      <c r="BZ1230" s="32">
        <v>1210401</v>
      </c>
      <c r="CA1230" s="356">
        <v>1681</v>
      </c>
    </row>
    <row r="1231" spans="75:79" x14ac:dyDescent="0.25">
      <c r="BW1231" s="32" t="s">
        <v>114</v>
      </c>
      <c r="BX1231" s="32" t="s">
        <v>731</v>
      </c>
      <c r="BY1231" s="32" t="s">
        <v>712</v>
      </c>
      <c r="BZ1231" s="32">
        <v>1210401</v>
      </c>
      <c r="CA1231" s="356">
        <v>1817</v>
      </c>
    </row>
    <row r="1232" spans="75:79" x14ac:dyDescent="0.25">
      <c r="BW1232" s="32" t="s">
        <v>114</v>
      </c>
      <c r="BX1232" s="32" t="s">
        <v>731</v>
      </c>
      <c r="BY1232" s="32" t="s">
        <v>733</v>
      </c>
      <c r="BZ1232" s="32">
        <v>1210401</v>
      </c>
      <c r="CA1232" s="356">
        <v>1180</v>
      </c>
    </row>
    <row r="1233" spans="75:79" x14ac:dyDescent="0.25">
      <c r="BW1233" s="32" t="s">
        <v>114</v>
      </c>
      <c r="BX1233" s="32" t="s">
        <v>731</v>
      </c>
      <c r="BY1233" s="32" t="s">
        <v>739</v>
      </c>
      <c r="BZ1233" s="32">
        <v>1210401</v>
      </c>
      <c r="CA1233" s="356">
        <v>1022</v>
      </c>
    </row>
    <row r="1234" spans="75:79" x14ac:dyDescent="0.25">
      <c r="BW1234" s="32" t="s">
        <v>114</v>
      </c>
      <c r="BX1234" s="32" t="s">
        <v>731</v>
      </c>
      <c r="BY1234" s="32" t="s">
        <v>740</v>
      </c>
      <c r="BZ1234" s="32">
        <v>1210401</v>
      </c>
      <c r="CA1234" s="356">
        <v>1022</v>
      </c>
    </row>
    <row r="1235" spans="75:79" x14ac:dyDescent="0.25">
      <c r="BW1235" s="32" t="s">
        <v>114</v>
      </c>
      <c r="BX1235" s="32" t="s">
        <v>731</v>
      </c>
      <c r="BY1235" s="32" t="s">
        <v>677</v>
      </c>
      <c r="BZ1235" s="32">
        <v>1210401</v>
      </c>
      <c r="CA1235" s="356">
        <v>1022</v>
      </c>
    </row>
    <row r="1236" spans="75:79" x14ac:dyDescent="0.25">
      <c r="BW1236" s="32" t="s">
        <v>114</v>
      </c>
      <c r="BX1236" s="32" t="s">
        <v>731</v>
      </c>
      <c r="BY1236" s="32" t="s">
        <v>681</v>
      </c>
      <c r="BZ1236" s="32">
        <v>1210401</v>
      </c>
      <c r="CA1236" s="356">
        <v>1022</v>
      </c>
    </row>
    <row r="1237" spans="75:79" x14ac:dyDescent="0.25">
      <c r="BW1237" s="32" t="s">
        <v>114</v>
      </c>
      <c r="BX1237" s="32" t="s">
        <v>731</v>
      </c>
      <c r="BY1237" s="32" t="s">
        <v>1208</v>
      </c>
      <c r="BZ1237" s="32">
        <v>1210401</v>
      </c>
      <c r="CA1237" s="356">
        <v>1048</v>
      </c>
    </row>
    <row r="1238" spans="75:79" x14ac:dyDescent="0.25">
      <c r="BW1238" s="32" t="s">
        <v>114</v>
      </c>
      <c r="BX1238" s="32" t="s">
        <v>731</v>
      </c>
      <c r="BY1238" s="32" t="s">
        <v>1209</v>
      </c>
      <c r="BZ1238" s="32">
        <v>1210401</v>
      </c>
      <c r="CA1238" s="356">
        <v>1048</v>
      </c>
    </row>
    <row r="1239" spans="75:79" x14ac:dyDescent="0.25">
      <c r="BW1239" s="32" t="s">
        <v>114</v>
      </c>
      <c r="BX1239" s="32" t="s">
        <v>731</v>
      </c>
      <c r="BY1239" s="32" t="s">
        <v>675</v>
      </c>
      <c r="BZ1239" s="32">
        <v>1210401</v>
      </c>
      <c r="CA1239" s="356">
        <v>1033</v>
      </c>
    </row>
    <row r="1240" spans="75:79" x14ac:dyDescent="0.25">
      <c r="BW1240" s="32" t="s">
        <v>114</v>
      </c>
      <c r="BX1240" s="32" t="s">
        <v>731</v>
      </c>
      <c r="BY1240" s="32" t="s">
        <v>676</v>
      </c>
      <c r="BZ1240" s="32">
        <v>1210401</v>
      </c>
      <c r="CA1240" s="356">
        <v>1061</v>
      </c>
    </row>
    <row r="1241" spans="75:79" x14ac:dyDescent="0.25">
      <c r="BW1241" s="32" t="s">
        <v>114</v>
      </c>
      <c r="BX1241" s="32" t="s">
        <v>731</v>
      </c>
      <c r="BY1241" s="32" t="s">
        <v>680</v>
      </c>
      <c r="BZ1241" s="32">
        <v>1210401</v>
      </c>
      <c r="CA1241" s="356">
        <v>1101</v>
      </c>
    </row>
    <row r="1242" spans="75:79" x14ac:dyDescent="0.25">
      <c r="BW1242" s="32" t="s">
        <v>114</v>
      </c>
      <c r="BX1242" s="32" t="s">
        <v>731</v>
      </c>
      <c r="BY1242" s="32" t="s">
        <v>682</v>
      </c>
      <c r="BZ1242" s="32">
        <v>1210401</v>
      </c>
      <c r="CA1242" s="356">
        <v>1101</v>
      </c>
    </row>
    <row r="1243" spans="75:79" x14ac:dyDescent="0.25">
      <c r="BW1243" s="32" t="s">
        <v>114</v>
      </c>
      <c r="BX1243" s="32" t="s">
        <v>731</v>
      </c>
      <c r="BY1243" s="32" t="s">
        <v>678</v>
      </c>
      <c r="BZ1243" s="32">
        <v>1210401</v>
      </c>
      <c r="CA1243" s="356">
        <v>1152</v>
      </c>
    </row>
    <row r="1244" spans="75:79" x14ac:dyDescent="0.25">
      <c r="BW1244" s="32" t="s">
        <v>114</v>
      </c>
      <c r="BX1244" s="32" t="s">
        <v>731</v>
      </c>
      <c r="BY1244" s="32" t="s">
        <v>713</v>
      </c>
      <c r="BZ1244" s="32">
        <v>1210401</v>
      </c>
      <c r="CA1244" s="356">
        <v>1330</v>
      </c>
    </row>
    <row r="1245" spans="75:79" x14ac:dyDescent="0.25">
      <c r="BW1245" s="32" t="s">
        <v>114</v>
      </c>
      <c r="BX1245" s="32" t="s">
        <v>731</v>
      </c>
      <c r="BY1245" s="32" t="s">
        <v>715</v>
      </c>
      <c r="BZ1245" s="32">
        <v>1210401</v>
      </c>
      <c r="CA1245" s="356">
        <v>1341</v>
      </c>
    </row>
    <row r="1246" spans="75:79" x14ac:dyDescent="0.25">
      <c r="BW1246" s="32" t="s">
        <v>114</v>
      </c>
      <c r="BX1246" s="32" t="s">
        <v>731</v>
      </c>
      <c r="BY1246" s="32" t="s">
        <v>718</v>
      </c>
      <c r="BZ1246" s="32">
        <v>1210401</v>
      </c>
      <c r="CA1246" s="356">
        <v>1467</v>
      </c>
    </row>
    <row r="1247" spans="75:79" x14ac:dyDescent="0.25">
      <c r="BW1247" s="32" t="s">
        <v>114</v>
      </c>
      <c r="BX1247" s="32" t="s">
        <v>731</v>
      </c>
      <c r="BY1247" s="32" t="s">
        <v>714</v>
      </c>
      <c r="BZ1247" s="32">
        <v>1210401</v>
      </c>
      <c r="CA1247" s="356">
        <v>1330</v>
      </c>
    </row>
    <row r="1248" spans="75:79" x14ac:dyDescent="0.25">
      <c r="BW1248" s="32" t="s">
        <v>114</v>
      </c>
      <c r="BX1248" s="32" t="s">
        <v>731</v>
      </c>
      <c r="BY1248" s="32" t="s">
        <v>716</v>
      </c>
      <c r="BZ1248" s="32">
        <v>1210401</v>
      </c>
      <c r="CA1248" s="356">
        <v>1341</v>
      </c>
    </row>
    <row r="1249" spans="75:79" x14ac:dyDescent="0.25">
      <c r="BW1249" s="32" t="s">
        <v>114</v>
      </c>
      <c r="BX1249" s="32" t="s">
        <v>731</v>
      </c>
      <c r="BY1249" s="32" t="s">
        <v>719</v>
      </c>
      <c r="BZ1249" s="32">
        <v>1210401</v>
      </c>
      <c r="CA1249" s="356">
        <v>1467</v>
      </c>
    </row>
    <row r="1250" spans="75:79" x14ac:dyDescent="0.25">
      <c r="BW1250" s="32" t="s">
        <v>114</v>
      </c>
      <c r="BX1250" s="32" t="s">
        <v>731</v>
      </c>
      <c r="BY1250" s="32" t="s">
        <v>717</v>
      </c>
      <c r="BZ1250" s="32">
        <v>1210401</v>
      </c>
      <c r="CA1250" s="356">
        <v>1341</v>
      </c>
    </row>
    <row r="1251" spans="75:79" x14ac:dyDescent="0.25">
      <c r="BW1251" s="32" t="s">
        <v>114</v>
      </c>
      <c r="BX1251" s="32" t="s">
        <v>731</v>
      </c>
      <c r="BY1251" s="32" t="s">
        <v>720</v>
      </c>
      <c r="BZ1251" s="32">
        <v>1210401</v>
      </c>
      <c r="CA1251" s="356">
        <v>1467</v>
      </c>
    </row>
    <row r="1252" spans="75:79" x14ac:dyDescent="0.25">
      <c r="BW1252" s="32" t="s">
        <v>114</v>
      </c>
      <c r="BX1252" s="32" t="s">
        <v>731</v>
      </c>
      <c r="BY1252" s="32" t="s">
        <v>723</v>
      </c>
      <c r="BZ1252" s="32">
        <v>1210401</v>
      </c>
      <c r="CA1252" s="356">
        <v>1530</v>
      </c>
    </row>
    <row r="1253" spans="75:79" x14ac:dyDescent="0.25">
      <c r="BW1253" s="32" t="s">
        <v>114</v>
      </c>
      <c r="BX1253" s="32" t="s">
        <v>731</v>
      </c>
      <c r="BY1253" s="32" t="s">
        <v>721</v>
      </c>
      <c r="BZ1253" s="32">
        <v>1210401</v>
      </c>
      <c r="CA1253" s="356">
        <v>1467</v>
      </c>
    </row>
    <row r="1254" spans="75:79" x14ac:dyDescent="0.25">
      <c r="BW1254" s="32" t="s">
        <v>114</v>
      </c>
      <c r="BX1254" s="32" t="s">
        <v>731</v>
      </c>
      <c r="BY1254" s="32" t="s">
        <v>724</v>
      </c>
      <c r="BZ1254" s="32">
        <v>1210401</v>
      </c>
      <c r="CA1254" s="356">
        <v>1530</v>
      </c>
    </row>
    <row r="1255" spans="75:79" x14ac:dyDescent="0.25">
      <c r="BW1255" s="32" t="s">
        <v>114</v>
      </c>
      <c r="BX1255" s="32" t="s">
        <v>731</v>
      </c>
      <c r="BY1255" s="32" t="s">
        <v>726</v>
      </c>
      <c r="BZ1255" s="32">
        <v>1210401</v>
      </c>
      <c r="CA1255" s="356">
        <v>1609</v>
      </c>
    </row>
    <row r="1256" spans="75:79" x14ac:dyDescent="0.25">
      <c r="BW1256" s="32" t="s">
        <v>114</v>
      </c>
      <c r="BX1256" s="32" t="s">
        <v>731</v>
      </c>
      <c r="BY1256" s="32" t="s">
        <v>722</v>
      </c>
      <c r="BZ1256" s="32">
        <v>1210401</v>
      </c>
      <c r="CA1256" s="356">
        <v>1467</v>
      </c>
    </row>
    <row r="1257" spans="75:79" x14ac:dyDescent="0.25">
      <c r="BW1257" s="32" t="s">
        <v>114</v>
      </c>
      <c r="BX1257" s="32" t="s">
        <v>731</v>
      </c>
      <c r="BY1257" s="32" t="s">
        <v>725</v>
      </c>
      <c r="BZ1257" s="32">
        <v>1210401</v>
      </c>
      <c r="CA1257" s="356">
        <v>1530</v>
      </c>
    </row>
    <row r="1258" spans="75:79" x14ac:dyDescent="0.25">
      <c r="BW1258" s="32" t="s">
        <v>114</v>
      </c>
      <c r="BX1258" s="32" t="s">
        <v>731</v>
      </c>
      <c r="BY1258" s="32" t="s">
        <v>727</v>
      </c>
      <c r="BZ1258" s="32">
        <v>1210401</v>
      </c>
      <c r="CA1258" s="356">
        <v>1609</v>
      </c>
    </row>
    <row r="1259" spans="75:79" x14ac:dyDescent="0.25">
      <c r="BW1259" s="32" t="s">
        <v>114</v>
      </c>
      <c r="BX1259" s="32" t="s">
        <v>731</v>
      </c>
      <c r="BY1259" s="32" t="s">
        <v>728</v>
      </c>
      <c r="BZ1259" s="32">
        <v>1210401</v>
      </c>
      <c r="CA1259" s="356">
        <v>1609</v>
      </c>
    </row>
    <row r="1260" spans="75:79" x14ac:dyDescent="0.25">
      <c r="BW1260" s="32" t="s">
        <v>114</v>
      </c>
      <c r="BX1260" s="32" t="s">
        <v>731</v>
      </c>
      <c r="BY1260" s="32" t="s">
        <v>729</v>
      </c>
      <c r="BZ1260" s="32">
        <v>1210401</v>
      </c>
      <c r="CA1260" s="356">
        <v>1609</v>
      </c>
    </row>
    <row r="1261" spans="75:79" x14ac:dyDescent="0.25">
      <c r="BW1261" s="32" t="s">
        <v>114</v>
      </c>
      <c r="BX1261" s="32" t="s">
        <v>731</v>
      </c>
      <c r="BY1261" s="32" t="s">
        <v>668</v>
      </c>
      <c r="BZ1261" s="32">
        <v>1210401</v>
      </c>
      <c r="CA1261" s="356">
        <v>1446</v>
      </c>
    </row>
    <row r="1262" spans="75:79" x14ac:dyDescent="0.25">
      <c r="BW1262" s="32" t="s">
        <v>114</v>
      </c>
      <c r="BX1262" s="32" t="s">
        <v>731</v>
      </c>
      <c r="BY1262" s="32" t="s">
        <v>674</v>
      </c>
      <c r="BZ1262" s="32">
        <v>1210401</v>
      </c>
      <c r="CA1262" s="356">
        <v>1446</v>
      </c>
    </row>
    <row r="1263" spans="75:79" x14ac:dyDescent="0.25">
      <c r="BW1263" s="32" t="s">
        <v>114</v>
      </c>
      <c r="BX1263" s="32" t="s">
        <v>731</v>
      </c>
      <c r="BY1263" s="32" t="s">
        <v>669</v>
      </c>
      <c r="BZ1263" s="32">
        <v>1210401</v>
      </c>
      <c r="CA1263" s="356">
        <v>1446</v>
      </c>
    </row>
    <row r="1264" spans="75:79" x14ac:dyDescent="0.25">
      <c r="BW1264" s="32" t="s">
        <v>114</v>
      </c>
      <c r="BX1264" s="32" t="s">
        <v>731</v>
      </c>
      <c r="BY1264" s="32" t="s">
        <v>671</v>
      </c>
      <c r="BZ1264" s="32">
        <v>1210401</v>
      </c>
      <c r="CA1264" s="356">
        <v>1330</v>
      </c>
    </row>
    <row r="1265" spans="75:79" x14ac:dyDescent="0.25">
      <c r="BW1265" s="32" t="s">
        <v>114</v>
      </c>
      <c r="BX1265" s="32" t="s">
        <v>731</v>
      </c>
      <c r="BY1265" s="32" t="s">
        <v>670</v>
      </c>
      <c r="BZ1265" s="32">
        <v>1210401</v>
      </c>
      <c r="CA1265" s="356">
        <v>1446</v>
      </c>
    </row>
    <row r="1266" spans="75:79" x14ac:dyDescent="0.25">
      <c r="BW1266" s="32" t="s">
        <v>114</v>
      </c>
      <c r="BX1266" s="32" t="s">
        <v>731</v>
      </c>
      <c r="BY1266" s="32" t="s">
        <v>672</v>
      </c>
      <c r="BZ1266" s="32">
        <v>1210401</v>
      </c>
      <c r="CA1266" s="356">
        <v>1330</v>
      </c>
    </row>
    <row r="1267" spans="75:79" x14ac:dyDescent="0.25">
      <c r="BW1267" s="32" t="s">
        <v>114</v>
      </c>
      <c r="BX1267" s="32" t="s">
        <v>731</v>
      </c>
      <c r="BY1267" s="32" t="s">
        <v>673</v>
      </c>
      <c r="BZ1267" s="32">
        <v>1210401</v>
      </c>
      <c r="CA1267" s="356">
        <v>1341</v>
      </c>
    </row>
    <row r="1268" spans="75:79" x14ac:dyDescent="0.25">
      <c r="BW1268" s="32" t="s">
        <v>114</v>
      </c>
      <c r="BX1268" s="32" t="s">
        <v>731</v>
      </c>
      <c r="BY1268" s="32" t="s">
        <v>737</v>
      </c>
      <c r="BZ1268" s="32">
        <v>1210401</v>
      </c>
      <c r="CA1268" s="356">
        <v>1467</v>
      </c>
    </row>
    <row r="1269" spans="75:79" x14ac:dyDescent="0.25">
      <c r="BW1269" s="32" t="s">
        <v>114</v>
      </c>
      <c r="BX1269" s="32" t="s">
        <v>398</v>
      </c>
      <c r="BY1269" s="32" t="s">
        <v>683</v>
      </c>
      <c r="BZ1269" s="32">
        <v>1210401</v>
      </c>
      <c r="CA1269" s="356">
        <v>2546</v>
      </c>
    </row>
    <row r="1270" spans="75:79" x14ac:dyDescent="0.25">
      <c r="BW1270" s="32" t="s">
        <v>114</v>
      </c>
      <c r="BX1270" s="32" t="s">
        <v>398</v>
      </c>
      <c r="BY1270" s="32" t="s">
        <v>686</v>
      </c>
      <c r="BZ1270" s="32">
        <v>1210401</v>
      </c>
      <c r="CA1270" s="356">
        <v>2567</v>
      </c>
    </row>
    <row r="1271" spans="75:79" x14ac:dyDescent="0.25">
      <c r="BW1271" s="32" t="s">
        <v>114</v>
      </c>
      <c r="BX1271" s="32" t="s">
        <v>398</v>
      </c>
      <c r="BY1271" s="32" t="s">
        <v>690</v>
      </c>
      <c r="BZ1271" s="32">
        <v>1210401</v>
      </c>
      <c r="CA1271" s="356">
        <v>2577</v>
      </c>
    </row>
    <row r="1272" spans="75:79" x14ac:dyDescent="0.25">
      <c r="BW1272" s="32" t="s">
        <v>114</v>
      </c>
      <c r="BX1272" s="32" t="s">
        <v>398</v>
      </c>
      <c r="BY1272" s="32" t="s">
        <v>695</v>
      </c>
      <c r="BZ1272" s="32">
        <v>1210401</v>
      </c>
      <c r="CA1272" s="356">
        <v>2719</v>
      </c>
    </row>
    <row r="1273" spans="75:79" x14ac:dyDescent="0.25">
      <c r="BW1273" s="32" t="s">
        <v>114</v>
      </c>
      <c r="BX1273" s="32" t="s">
        <v>398</v>
      </c>
      <c r="BY1273" s="32" t="s">
        <v>700</v>
      </c>
      <c r="BZ1273" s="32">
        <v>1210401</v>
      </c>
      <c r="CA1273" s="356">
        <v>2740</v>
      </c>
    </row>
    <row r="1274" spans="75:79" x14ac:dyDescent="0.25">
      <c r="BW1274" s="32" t="s">
        <v>114</v>
      </c>
      <c r="BX1274" s="32" t="s">
        <v>398</v>
      </c>
      <c r="BY1274" s="32" t="s">
        <v>684</v>
      </c>
      <c r="BZ1274" s="32">
        <v>1210401</v>
      </c>
      <c r="CA1274" s="356">
        <v>2546</v>
      </c>
    </row>
    <row r="1275" spans="75:79" x14ac:dyDescent="0.25">
      <c r="BW1275" s="32" t="s">
        <v>114</v>
      </c>
      <c r="BX1275" s="32" t="s">
        <v>398</v>
      </c>
      <c r="BY1275" s="32" t="s">
        <v>687</v>
      </c>
      <c r="BZ1275" s="32">
        <v>1210401</v>
      </c>
      <c r="CA1275" s="356">
        <v>2567</v>
      </c>
    </row>
    <row r="1276" spans="75:79" x14ac:dyDescent="0.25">
      <c r="BW1276" s="32" t="s">
        <v>114</v>
      </c>
      <c r="BX1276" s="32" t="s">
        <v>398</v>
      </c>
      <c r="BY1276" s="32" t="s">
        <v>691</v>
      </c>
      <c r="BZ1276" s="32">
        <v>1210401</v>
      </c>
      <c r="CA1276" s="356">
        <v>2577</v>
      </c>
    </row>
    <row r="1277" spans="75:79" x14ac:dyDescent="0.25">
      <c r="BW1277" s="32" t="s">
        <v>114</v>
      </c>
      <c r="BX1277" s="32" t="s">
        <v>398</v>
      </c>
      <c r="BY1277" s="32" t="s">
        <v>696</v>
      </c>
      <c r="BZ1277" s="32">
        <v>1210401</v>
      </c>
      <c r="CA1277" s="356">
        <v>2719</v>
      </c>
    </row>
    <row r="1278" spans="75:79" x14ac:dyDescent="0.25">
      <c r="BW1278" s="32" t="s">
        <v>114</v>
      </c>
      <c r="BX1278" s="32" t="s">
        <v>398</v>
      </c>
      <c r="BY1278" s="32" t="s">
        <v>701</v>
      </c>
      <c r="BZ1278" s="32">
        <v>1210401</v>
      </c>
      <c r="CA1278" s="356">
        <v>2740</v>
      </c>
    </row>
    <row r="1279" spans="75:79" x14ac:dyDescent="0.25">
      <c r="BW1279" s="32" t="s">
        <v>114</v>
      </c>
      <c r="BX1279" s="32" t="s">
        <v>398</v>
      </c>
      <c r="BY1279" s="32" t="s">
        <v>685</v>
      </c>
      <c r="BZ1279" s="32">
        <v>1210401</v>
      </c>
      <c r="CA1279" s="356">
        <v>2546</v>
      </c>
    </row>
    <row r="1280" spans="75:79" x14ac:dyDescent="0.25">
      <c r="BW1280" s="32" t="s">
        <v>114</v>
      </c>
      <c r="BX1280" s="32" t="s">
        <v>398</v>
      </c>
      <c r="BY1280" s="32" t="s">
        <v>688</v>
      </c>
      <c r="BZ1280" s="32">
        <v>1210401</v>
      </c>
      <c r="CA1280" s="356">
        <v>2567</v>
      </c>
    </row>
    <row r="1281" spans="75:79" x14ac:dyDescent="0.25">
      <c r="BW1281" s="32" t="s">
        <v>114</v>
      </c>
      <c r="BX1281" s="32" t="s">
        <v>398</v>
      </c>
      <c r="BY1281" s="32" t="s">
        <v>692</v>
      </c>
      <c r="BZ1281" s="32">
        <v>1210401</v>
      </c>
      <c r="CA1281" s="356">
        <v>2577</v>
      </c>
    </row>
    <row r="1282" spans="75:79" x14ac:dyDescent="0.25">
      <c r="BW1282" s="32" t="s">
        <v>114</v>
      </c>
      <c r="BX1282" s="32" t="s">
        <v>398</v>
      </c>
      <c r="BY1282" s="32" t="s">
        <v>697</v>
      </c>
      <c r="BZ1282" s="32">
        <v>1210401</v>
      </c>
      <c r="CA1282" s="356">
        <v>2719</v>
      </c>
    </row>
    <row r="1283" spans="75:79" x14ac:dyDescent="0.25">
      <c r="BW1283" s="32" t="s">
        <v>114</v>
      </c>
      <c r="BX1283" s="32" t="s">
        <v>398</v>
      </c>
      <c r="BY1283" s="32" t="s">
        <v>702</v>
      </c>
      <c r="BZ1283" s="32">
        <v>1210401</v>
      </c>
      <c r="CA1283" s="356">
        <v>2740</v>
      </c>
    </row>
    <row r="1284" spans="75:79" x14ac:dyDescent="0.25">
      <c r="BW1284" s="32" t="s">
        <v>114</v>
      </c>
      <c r="BX1284" s="32" t="s">
        <v>398</v>
      </c>
      <c r="BY1284" s="32" t="s">
        <v>689</v>
      </c>
      <c r="BZ1284" s="32">
        <v>1210401</v>
      </c>
      <c r="CA1284" s="356">
        <v>2567</v>
      </c>
    </row>
    <row r="1285" spans="75:79" x14ac:dyDescent="0.25">
      <c r="BW1285" s="32" t="s">
        <v>114</v>
      </c>
      <c r="BX1285" s="32" t="s">
        <v>398</v>
      </c>
      <c r="BY1285" s="32" t="s">
        <v>693</v>
      </c>
      <c r="BZ1285" s="32">
        <v>1210401</v>
      </c>
      <c r="CA1285" s="356">
        <v>2577</v>
      </c>
    </row>
    <row r="1286" spans="75:79" x14ac:dyDescent="0.25">
      <c r="BW1286" s="32" t="s">
        <v>114</v>
      </c>
      <c r="BX1286" s="32" t="s">
        <v>398</v>
      </c>
      <c r="BY1286" s="32" t="s">
        <v>698</v>
      </c>
      <c r="BZ1286" s="32">
        <v>1210401</v>
      </c>
      <c r="CA1286" s="356">
        <v>2719</v>
      </c>
    </row>
    <row r="1287" spans="75:79" x14ac:dyDescent="0.25">
      <c r="BW1287" s="32" t="s">
        <v>114</v>
      </c>
      <c r="BX1287" s="32" t="s">
        <v>398</v>
      </c>
      <c r="BY1287" s="32" t="s">
        <v>738</v>
      </c>
      <c r="BZ1287" s="32">
        <v>1210401</v>
      </c>
      <c r="CA1287" s="356">
        <v>2567</v>
      </c>
    </row>
    <row r="1288" spans="75:79" x14ac:dyDescent="0.25">
      <c r="BW1288" s="32" t="s">
        <v>114</v>
      </c>
      <c r="BX1288" s="32" t="s">
        <v>398</v>
      </c>
      <c r="BY1288" s="32" t="s">
        <v>694</v>
      </c>
      <c r="BZ1288" s="32">
        <v>1210401</v>
      </c>
      <c r="CA1288" s="356">
        <v>2577</v>
      </c>
    </row>
    <row r="1289" spans="75:79" x14ac:dyDescent="0.25">
      <c r="BW1289" s="32" t="s">
        <v>114</v>
      </c>
      <c r="BX1289" s="32" t="s">
        <v>398</v>
      </c>
      <c r="BY1289" s="32" t="s">
        <v>699</v>
      </c>
      <c r="BZ1289" s="32">
        <v>1210401</v>
      </c>
      <c r="CA1289" s="356">
        <v>2719</v>
      </c>
    </row>
    <row r="1290" spans="75:79" x14ac:dyDescent="0.25">
      <c r="BW1290" s="32" t="s">
        <v>114</v>
      </c>
      <c r="BX1290" s="32" t="s">
        <v>398</v>
      </c>
      <c r="BY1290" s="32" t="s">
        <v>703</v>
      </c>
      <c r="BZ1290" s="32">
        <v>1210401</v>
      </c>
      <c r="CA1290" s="356">
        <v>1590</v>
      </c>
    </row>
    <row r="1291" spans="75:79" x14ac:dyDescent="0.25">
      <c r="BW1291" s="32" t="s">
        <v>114</v>
      </c>
      <c r="BX1291" s="32" t="s">
        <v>398</v>
      </c>
      <c r="BY1291" s="32" t="s">
        <v>704</v>
      </c>
      <c r="BZ1291" s="32">
        <v>1210401</v>
      </c>
      <c r="CA1291" s="356">
        <v>1590</v>
      </c>
    </row>
    <row r="1292" spans="75:79" x14ac:dyDescent="0.25">
      <c r="BW1292" s="32" t="s">
        <v>114</v>
      </c>
      <c r="BX1292" s="32" t="s">
        <v>398</v>
      </c>
      <c r="BY1292" s="32" t="s">
        <v>706</v>
      </c>
      <c r="BZ1292" s="32">
        <v>1210401</v>
      </c>
      <c r="CA1292" s="356">
        <v>1652</v>
      </c>
    </row>
    <row r="1293" spans="75:79" x14ac:dyDescent="0.25">
      <c r="BW1293" s="32" t="s">
        <v>114</v>
      </c>
      <c r="BX1293" s="32" t="s">
        <v>398</v>
      </c>
      <c r="BY1293" s="32" t="s">
        <v>708</v>
      </c>
      <c r="BZ1293" s="32">
        <v>1210401</v>
      </c>
      <c r="CA1293" s="356">
        <v>1681</v>
      </c>
    </row>
    <row r="1294" spans="75:79" x14ac:dyDescent="0.25">
      <c r="BW1294" s="32" t="s">
        <v>114</v>
      </c>
      <c r="BX1294" s="32" t="s">
        <v>398</v>
      </c>
      <c r="BY1294" s="32" t="s">
        <v>705</v>
      </c>
      <c r="BZ1294" s="32">
        <v>1210401</v>
      </c>
      <c r="CA1294" s="356">
        <v>1590</v>
      </c>
    </row>
    <row r="1295" spans="75:79" x14ac:dyDescent="0.25">
      <c r="BW1295" s="32" t="s">
        <v>114</v>
      </c>
      <c r="BX1295" s="32" t="s">
        <v>398</v>
      </c>
      <c r="BY1295" s="32" t="s">
        <v>707</v>
      </c>
      <c r="BZ1295" s="32">
        <v>1210401</v>
      </c>
      <c r="CA1295" s="356">
        <v>1652</v>
      </c>
    </row>
    <row r="1296" spans="75:79" x14ac:dyDescent="0.25">
      <c r="BW1296" s="32" t="s">
        <v>114</v>
      </c>
      <c r="BX1296" s="32" t="s">
        <v>398</v>
      </c>
      <c r="BY1296" s="32" t="s">
        <v>709</v>
      </c>
      <c r="BZ1296" s="32">
        <v>1210401</v>
      </c>
      <c r="CA1296" s="356">
        <v>1681</v>
      </c>
    </row>
    <row r="1297" spans="75:79" x14ac:dyDescent="0.25">
      <c r="BW1297" s="32" t="s">
        <v>114</v>
      </c>
      <c r="BX1297" s="32" t="s">
        <v>398</v>
      </c>
      <c r="BY1297" s="32" t="s">
        <v>710</v>
      </c>
      <c r="BZ1297" s="32">
        <v>1210401</v>
      </c>
      <c r="CA1297" s="356">
        <v>1681</v>
      </c>
    </row>
    <row r="1298" spans="75:79" x14ac:dyDescent="0.25">
      <c r="BW1298" s="32" t="s">
        <v>114</v>
      </c>
      <c r="BX1298" s="32" t="s">
        <v>398</v>
      </c>
      <c r="BY1298" s="32" t="s">
        <v>711</v>
      </c>
      <c r="BZ1298" s="32">
        <v>1210401</v>
      </c>
      <c r="CA1298" s="356">
        <v>1681</v>
      </c>
    </row>
    <row r="1299" spans="75:79" x14ac:dyDescent="0.25">
      <c r="BW1299" s="32" t="s">
        <v>114</v>
      </c>
      <c r="BX1299" s="32" t="s">
        <v>398</v>
      </c>
      <c r="BY1299" s="32" t="s">
        <v>712</v>
      </c>
      <c r="BZ1299" s="32">
        <v>1210401</v>
      </c>
      <c r="CA1299" s="356">
        <v>1817</v>
      </c>
    </row>
    <row r="1300" spans="75:79" x14ac:dyDescent="0.25">
      <c r="BW1300" s="32" t="s">
        <v>114</v>
      </c>
      <c r="BX1300" s="32" t="s">
        <v>398</v>
      </c>
      <c r="BY1300" s="32" t="s">
        <v>733</v>
      </c>
      <c r="BZ1300" s="32">
        <v>1210401</v>
      </c>
      <c r="CA1300" s="356">
        <v>1180</v>
      </c>
    </row>
    <row r="1301" spans="75:79" x14ac:dyDescent="0.25">
      <c r="BW1301" s="32" t="s">
        <v>114</v>
      </c>
      <c r="BX1301" s="32" t="s">
        <v>398</v>
      </c>
      <c r="BY1301" s="32" t="s">
        <v>739</v>
      </c>
      <c r="BZ1301" s="32">
        <v>1210401</v>
      </c>
      <c r="CA1301" s="356">
        <v>1022</v>
      </c>
    </row>
    <row r="1302" spans="75:79" x14ac:dyDescent="0.25">
      <c r="BW1302" s="32" t="s">
        <v>114</v>
      </c>
      <c r="BX1302" s="32" t="s">
        <v>398</v>
      </c>
      <c r="BY1302" s="32" t="s">
        <v>740</v>
      </c>
      <c r="BZ1302" s="32">
        <v>1210401</v>
      </c>
      <c r="CA1302" s="356">
        <v>1022</v>
      </c>
    </row>
    <row r="1303" spans="75:79" x14ac:dyDescent="0.25">
      <c r="BW1303" s="32" t="s">
        <v>114</v>
      </c>
      <c r="BX1303" s="32" t="s">
        <v>398</v>
      </c>
      <c r="BY1303" s="32" t="s">
        <v>677</v>
      </c>
      <c r="BZ1303" s="32">
        <v>1210401</v>
      </c>
      <c r="CA1303" s="356">
        <v>1022</v>
      </c>
    </row>
    <row r="1304" spans="75:79" x14ac:dyDescent="0.25">
      <c r="BW1304" s="32" t="s">
        <v>114</v>
      </c>
      <c r="BX1304" s="32" t="s">
        <v>398</v>
      </c>
      <c r="BY1304" s="32" t="s">
        <v>681</v>
      </c>
      <c r="BZ1304" s="32">
        <v>1210401</v>
      </c>
      <c r="CA1304" s="356">
        <v>1022</v>
      </c>
    </row>
    <row r="1305" spans="75:79" x14ac:dyDescent="0.25">
      <c r="BW1305" s="32" t="s">
        <v>114</v>
      </c>
      <c r="BX1305" s="32" t="s">
        <v>398</v>
      </c>
      <c r="BY1305" s="32" t="s">
        <v>1208</v>
      </c>
      <c r="BZ1305" s="32">
        <v>1210401</v>
      </c>
      <c r="CA1305" s="356">
        <v>1048</v>
      </c>
    </row>
    <row r="1306" spans="75:79" x14ac:dyDescent="0.25">
      <c r="BW1306" s="32" t="s">
        <v>114</v>
      </c>
      <c r="BX1306" s="32" t="s">
        <v>398</v>
      </c>
      <c r="BY1306" s="32" t="s">
        <v>1209</v>
      </c>
      <c r="BZ1306" s="32">
        <v>1210401</v>
      </c>
      <c r="CA1306" s="356">
        <v>1048</v>
      </c>
    </row>
    <row r="1307" spans="75:79" x14ac:dyDescent="0.25">
      <c r="BW1307" s="32" t="s">
        <v>114</v>
      </c>
      <c r="BX1307" s="32" t="s">
        <v>398</v>
      </c>
      <c r="BY1307" s="32" t="s">
        <v>675</v>
      </c>
      <c r="BZ1307" s="32">
        <v>1210401</v>
      </c>
      <c r="CA1307" s="356">
        <v>1033</v>
      </c>
    </row>
    <row r="1308" spans="75:79" x14ac:dyDescent="0.25">
      <c r="BW1308" s="32" t="s">
        <v>114</v>
      </c>
      <c r="BX1308" s="32" t="s">
        <v>398</v>
      </c>
      <c r="BY1308" s="32" t="s">
        <v>676</v>
      </c>
      <c r="BZ1308" s="32">
        <v>1210401</v>
      </c>
      <c r="CA1308" s="356">
        <v>1061</v>
      </c>
    </row>
    <row r="1309" spans="75:79" x14ac:dyDescent="0.25">
      <c r="BW1309" s="32" t="s">
        <v>114</v>
      </c>
      <c r="BX1309" s="32" t="s">
        <v>398</v>
      </c>
      <c r="BY1309" s="32" t="s">
        <v>680</v>
      </c>
      <c r="BZ1309" s="32">
        <v>1210401</v>
      </c>
      <c r="CA1309" s="356">
        <v>1101</v>
      </c>
    </row>
    <row r="1310" spans="75:79" x14ac:dyDescent="0.25">
      <c r="BW1310" s="32" t="s">
        <v>114</v>
      </c>
      <c r="BX1310" s="32" t="s">
        <v>398</v>
      </c>
      <c r="BY1310" s="32" t="s">
        <v>682</v>
      </c>
      <c r="BZ1310" s="32">
        <v>1210401</v>
      </c>
      <c r="CA1310" s="356">
        <v>1101</v>
      </c>
    </row>
    <row r="1311" spans="75:79" x14ac:dyDescent="0.25">
      <c r="BW1311" s="32" t="s">
        <v>114</v>
      </c>
      <c r="BX1311" s="32" t="s">
        <v>398</v>
      </c>
      <c r="BY1311" s="32" t="s">
        <v>678</v>
      </c>
      <c r="BZ1311" s="32">
        <v>1210401</v>
      </c>
      <c r="CA1311" s="356">
        <v>1152</v>
      </c>
    </row>
    <row r="1312" spans="75:79" x14ac:dyDescent="0.25">
      <c r="BW1312" s="32" t="s">
        <v>114</v>
      </c>
      <c r="BX1312" s="32" t="s">
        <v>398</v>
      </c>
      <c r="BY1312" s="32" t="s">
        <v>713</v>
      </c>
      <c r="BZ1312" s="32">
        <v>1210401</v>
      </c>
      <c r="CA1312" s="356">
        <v>1330</v>
      </c>
    </row>
    <row r="1313" spans="75:79" x14ac:dyDescent="0.25">
      <c r="BW1313" s="32" t="s">
        <v>114</v>
      </c>
      <c r="BX1313" s="32" t="s">
        <v>398</v>
      </c>
      <c r="BY1313" s="32" t="s">
        <v>715</v>
      </c>
      <c r="BZ1313" s="32">
        <v>1210401</v>
      </c>
      <c r="CA1313" s="356">
        <v>1341</v>
      </c>
    </row>
    <row r="1314" spans="75:79" x14ac:dyDescent="0.25">
      <c r="BW1314" s="32" t="s">
        <v>114</v>
      </c>
      <c r="BX1314" s="32" t="s">
        <v>398</v>
      </c>
      <c r="BY1314" s="32" t="s">
        <v>718</v>
      </c>
      <c r="BZ1314" s="32">
        <v>1210401</v>
      </c>
      <c r="CA1314" s="356">
        <v>1467</v>
      </c>
    </row>
    <row r="1315" spans="75:79" x14ac:dyDescent="0.25">
      <c r="BW1315" s="32" t="s">
        <v>114</v>
      </c>
      <c r="BX1315" s="32" t="s">
        <v>398</v>
      </c>
      <c r="BY1315" s="32" t="s">
        <v>714</v>
      </c>
      <c r="BZ1315" s="32">
        <v>1210401</v>
      </c>
      <c r="CA1315" s="356">
        <v>1330</v>
      </c>
    </row>
    <row r="1316" spans="75:79" x14ac:dyDescent="0.25">
      <c r="BW1316" s="32" t="s">
        <v>114</v>
      </c>
      <c r="BX1316" s="32" t="s">
        <v>398</v>
      </c>
      <c r="BY1316" s="32" t="s">
        <v>716</v>
      </c>
      <c r="BZ1316" s="32">
        <v>1210401</v>
      </c>
      <c r="CA1316" s="356">
        <v>1341</v>
      </c>
    </row>
    <row r="1317" spans="75:79" x14ac:dyDescent="0.25">
      <c r="BW1317" s="32" t="s">
        <v>114</v>
      </c>
      <c r="BX1317" s="32" t="s">
        <v>398</v>
      </c>
      <c r="BY1317" s="32" t="s">
        <v>719</v>
      </c>
      <c r="BZ1317" s="32">
        <v>1210401</v>
      </c>
      <c r="CA1317" s="356">
        <v>1467</v>
      </c>
    </row>
    <row r="1318" spans="75:79" x14ac:dyDescent="0.25">
      <c r="BW1318" s="32" t="s">
        <v>114</v>
      </c>
      <c r="BX1318" s="32" t="s">
        <v>398</v>
      </c>
      <c r="BY1318" s="32" t="s">
        <v>717</v>
      </c>
      <c r="BZ1318" s="32">
        <v>1210401</v>
      </c>
      <c r="CA1318" s="356">
        <v>1341</v>
      </c>
    </row>
    <row r="1319" spans="75:79" x14ac:dyDescent="0.25">
      <c r="BW1319" s="32" t="s">
        <v>114</v>
      </c>
      <c r="BX1319" s="32" t="s">
        <v>398</v>
      </c>
      <c r="BY1319" s="32" t="s">
        <v>720</v>
      </c>
      <c r="BZ1319" s="32">
        <v>1210401</v>
      </c>
      <c r="CA1319" s="356">
        <v>1467</v>
      </c>
    </row>
    <row r="1320" spans="75:79" x14ac:dyDescent="0.25">
      <c r="BW1320" s="32" t="s">
        <v>114</v>
      </c>
      <c r="BX1320" s="32" t="s">
        <v>398</v>
      </c>
      <c r="BY1320" s="32" t="s">
        <v>723</v>
      </c>
      <c r="BZ1320" s="32">
        <v>1210401</v>
      </c>
      <c r="CA1320" s="356">
        <v>1530</v>
      </c>
    </row>
    <row r="1321" spans="75:79" x14ac:dyDescent="0.25">
      <c r="BW1321" s="32" t="s">
        <v>114</v>
      </c>
      <c r="BX1321" s="32" t="s">
        <v>398</v>
      </c>
      <c r="BY1321" s="32" t="s">
        <v>721</v>
      </c>
      <c r="BZ1321" s="32">
        <v>1210401</v>
      </c>
      <c r="CA1321" s="356">
        <v>1467</v>
      </c>
    </row>
    <row r="1322" spans="75:79" x14ac:dyDescent="0.25">
      <c r="BW1322" s="32" t="s">
        <v>114</v>
      </c>
      <c r="BX1322" s="32" t="s">
        <v>398</v>
      </c>
      <c r="BY1322" s="32" t="s">
        <v>724</v>
      </c>
      <c r="BZ1322" s="32">
        <v>1210401</v>
      </c>
      <c r="CA1322" s="356">
        <v>1530</v>
      </c>
    </row>
    <row r="1323" spans="75:79" x14ac:dyDescent="0.25">
      <c r="BW1323" s="32" t="s">
        <v>114</v>
      </c>
      <c r="BX1323" s="32" t="s">
        <v>398</v>
      </c>
      <c r="BY1323" s="32" t="s">
        <v>726</v>
      </c>
      <c r="BZ1323" s="32">
        <v>1210401</v>
      </c>
      <c r="CA1323" s="356">
        <v>1609</v>
      </c>
    </row>
    <row r="1324" spans="75:79" x14ac:dyDescent="0.25">
      <c r="BW1324" s="32" t="s">
        <v>114</v>
      </c>
      <c r="BX1324" s="32" t="s">
        <v>398</v>
      </c>
      <c r="BY1324" s="32" t="s">
        <v>722</v>
      </c>
      <c r="BZ1324" s="32">
        <v>1210401</v>
      </c>
      <c r="CA1324" s="356">
        <v>1467</v>
      </c>
    </row>
    <row r="1325" spans="75:79" x14ac:dyDescent="0.25">
      <c r="BW1325" s="32" t="s">
        <v>114</v>
      </c>
      <c r="BX1325" s="32" t="s">
        <v>398</v>
      </c>
      <c r="BY1325" s="32" t="s">
        <v>725</v>
      </c>
      <c r="BZ1325" s="32">
        <v>1210401</v>
      </c>
      <c r="CA1325" s="356">
        <v>1530</v>
      </c>
    </row>
    <row r="1326" spans="75:79" x14ac:dyDescent="0.25">
      <c r="BW1326" s="32" t="s">
        <v>114</v>
      </c>
      <c r="BX1326" s="32" t="s">
        <v>398</v>
      </c>
      <c r="BY1326" s="32" t="s">
        <v>727</v>
      </c>
      <c r="BZ1326" s="32">
        <v>1210401</v>
      </c>
      <c r="CA1326" s="356">
        <v>1609</v>
      </c>
    </row>
    <row r="1327" spans="75:79" x14ac:dyDescent="0.25">
      <c r="BW1327" s="32" t="s">
        <v>114</v>
      </c>
      <c r="BX1327" s="32" t="s">
        <v>398</v>
      </c>
      <c r="BY1327" s="32" t="s">
        <v>728</v>
      </c>
      <c r="BZ1327" s="32">
        <v>1210401</v>
      </c>
      <c r="CA1327" s="356">
        <v>1609</v>
      </c>
    </row>
    <row r="1328" spans="75:79" x14ac:dyDescent="0.25">
      <c r="BW1328" s="32" t="s">
        <v>114</v>
      </c>
      <c r="BX1328" s="32" t="s">
        <v>398</v>
      </c>
      <c r="BY1328" s="32" t="s">
        <v>729</v>
      </c>
      <c r="BZ1328" s="32">
        <v>1210401</v>
      </c>
      <c r="CA1328" s="356">
        <v>1609</v>
      </c>
    </row>
    <row r="1329" spans="75:79" x14ac:dyDescent="0.25">
      <c r="BW1329" s="32" t="s">
        <v>114</v>
      </c>
      <c r="BX1329" s="32" t="s">
        <v>398</v>
      </c>
      <c r="BY1329" s="32" t="s">
        <v>668</v>
      </c>
      <c r="BZ1329" s="32">
        <v>1210401</v>
      </c>
      <c r="CA1329" s="356">
        <v>1446</v>
      </c>
    </row>
    <row r="1330" spans="75:79" x14ac:dyDescent="0.25">
      <c r="BW1330" s="32" t="s">
        <v>114</v>
      </c>
      <c r="BX1330" s="32" t="s">
        <v>398</v>
      </c>
      <c r="BY1330" s="32" t="s">
        <v>674</v>
      </c>
      <c r="BZ1330" s="32">
        <v>1210401</v>
      </c>
      <c r="CA1330" s="356">
        <v>1446</v>
      </c>
    </row>
    <row r="1331" spans="75:79" x14ac:dyDescent="0.25">
      <c r="BW1331" s="32" t="s">
        <v>114</v>
      </c>
      <c r="BX1331" s="32" t="s">
        <v>398</v>
      </c>
      <c r="BY1331" s="32" t="s">
        <v>669</v>
      </c>
      <c r="BZ1331" s="32">
        <v>1210401</v>
      </c>
      <c r="CA1331" s="356">
        <v>1446</v>
      </c>
    </row>
    <row r="1332" spans="75:79" x14ac:dyDescent="0.25">
      <c r="BW1332" s="32" t="s">
        <v>114</v>
      </c>
      <c r="BX1332" s="32" t="s">
        <v>398</v>
      </c>
      <c r="BY1332" s="32" t="s">
        <v>671</v>
      </c>
      <c r="BZ1332" s="32">
        <v>1210401</v>
      </c>
      <c r="CA1332" s="356">
        <v>1330</v>
      </c>
    </row>
    <row r="1333" spans="75:79" x14ac:dyDescent="0.25">
      <c r="BW1333" s="32" t="s">
        <v>114</v>
      </c>
      <c r="BX1333" s="32" t="s">
        <v>398</v>
      </c>
      <c r="BY1333" s="32" t="s">
        <v>670</v>
      </c>
      <c r="BZ1333" s="32">
        <v>1210401</v>
      </c>
      <c r="CA1333" s="356">
        <v>1446</v>
      </c>
    </row>
    <row r="1334" spans="75:79" x14ac:dyDescent="0.25">
      <c r="BW1334" s="32" t="s">
        <v>114</v>
      </c>
      <c r="BX1334" s="32" t="s">
        <v>398</v>
      </c>
      <c r="BY1334" s="32" t="s">
        <v>672</v>
      </c>
      <c r="BZ1334" s="32">
        <v>1210401</v>
      </c>
      <c r="CA1334" s="356">
        <v>1330</v>
      </c>
    </row>
    <row r="1335" spans="75:79" x14ac:dyDescent="0.25">
      <c r="BW1335" s="32" t="s">
        <v>114</v>
      </c>
      <c r="BX1335" s="32" t="s">
        <v>398</v>
      </c>
      <c r="BY1335" s="32" t="s">
        <v>673</v>
      </c>
      <c r="BZ1335" s="32">
        <v>1210401</v>
      </c>
      <c r="CA1335" s="356">
        <v>1341</v>
      </c>
    </row>
    <row r="1336" spans="75:79" x14ac:dyDescent="0.25">
      <c r="BW1336" s="32" t="s">
        <v>114</v>
      </c>
      <c r="BX1336" s="32" t="s">
        <v>398</v>
      </c>
      <c r="BY1336" s="32" t="s">
        <v>737</v>
      </c>
      <c r="BZ1336" s="32">
        <v>1210401</v>
      </c>
      <c r="CA1336" s="356">
        <v>1467</v>
      </c>
    </row>
    <row r="1337" spans="75:79" x14ac:dyDescent="0.25">
      <c r="BW1337" s="32" t="s">
        <v>114</v>
      </c>
      <c r="BX1337" s="32" t="s">
        <v>732</v>
      </c>
      <c r="BY1337" s="34" t="s">
        <v>683</v>
      </c>
      <c r="BZ1337" s="32">
        <v>1210401</v>
      </c>
      <c r="CA1337" s="354">
        <v>1620</v>
      </c>
    </row>
    <row r="1338" spans="75:79" x14ac:dyDescent="0.25">
      <c r="BW1338" s="32" t="s">
        <v>114</v>
      </c>
      <c r="BX1338" s="32" t="s">
        <v>732</v>
      </c>
      <c r="BY1338" s="32" t="s">
        <v>686</v>
      </c>
      <c r="BZ1338" s="32">
        <v>1210401</v>
      </c>
      <c r="CA1338" s="354">
        <v>1684</v>
      </c>
    </row>
    <row r="1339" spans="75:79" x14ac:dyDescent="0.25">
      <c r="BW1339" s="32" t="s">
        <v>114</v>
      </c>
      <c r="BX1339" s="32" t="s">
        <v>732</v>
      </c>
      <c r="BY1339" s="32" t="s">
        <v>690</v>
      </c>
      <c r="BZ1339" s="32">
        <v>1210401</v>
      </c>
      <c r="CA1339" s="354">
        <v>1729</v>
      </c>
    </row>
    <row r="1340" spans="75:79" x14ac:dyDescent="0.25">
      <c r="BW1340" s="32" t="s">
        <v>114</v>
      </c>
      <c r="BX1340" s="32" t="s">
        <v>732</v>
      </c>
      <c r="BY1340" s="32" t="s">
        <v>695</v>
      </c>
      <c r="BZ1340" s="32">
        <v>1210401</v>
      </c>
      <c r="CA1340" s="354">
        <v>1798</v>
      </c>
    </row>
    <row r="1341" spans="75:79" x14ac:dyDescent="0.25">
      <c r="BW1341" s="32" t="s">
        <v>114</v>
      </c>
      <c r="BX1341" s="32" t="s">
        <v>732</v>
      </c>
      <c r="BY1341" s="32" t="s">
        <v>700</v>
      </c>
      <c r="BZ1341" s="32">
        <v>1210401</v>
      </c>
      <c r="CA1341" s="354">
        <v>1809</v>
      </c>
    </row>
    <row r="1342" spans="75:79" x14ac:dyDescent="0.25">
      <c r="BW1342" s="32" t="s">
        <v>114</v>
      </c>
      <c r="BX1342" s="32" t="s">
        <v>732</v>
      </c>
      <c r="BY1342" s="32" t="s">
        <v>684</v>
      </c>
      <c r="BZ1342" s="32">
        <v>1210401</v>
      </c>
      <c r="CA1342" s="354">
        <v>1620</v>
      </c>
    </row>
    <row r="1343" spans="75:79" x14ac:dyDescent="0.25">
      <c r="BW1343" s="32" t="s">
        <v>114</v>
      </c>
      <c r="BX1343" s="32" t="s">
        <v>732</v>
      </c>
      <c r="BY1343" s="32" t="s">
        <v>687</v>
      </c>
      <c r="BZ1343" s="32">
        <v>1210401</v>
      </c>
      <c r="CA1343" s="354">
        <v>1684</v>
      </c>
    </row>
    <row r="1344" spans="75:79" x14ac:dyDescent="0.25">
      <c r="BW1344" s="32" t="s">
        <v>114</v>
      </c>
      <c r="BX1344" s="32" t="s">
        <v>732</v>
      </c>
      <c r="BY1344" s="32" t="s">
        <v>691</v>
      </c>
      <c r="BZ1344" s="32">
        <v>1210401</v>
      </c>
      <c r="CA1344" s="354">
        <v>1729</v>
      </c>
    </row>
    <row r="1345" spans="75:79" x14ac:dyDescent="0.25">
      <c r="BW1345" s="32" t="s">
        <v>114</v>
      </c>
      <c r="BX1345" s="32" t="s">
        <v>732</v>
      </c>
      <c r="BY1345" s="32" t="s">
        <v>696</v>
      </c>
      <c r="BZ1345" s="32">
        <v>1210401</v>
      </c>
      <c r="CA1345" s="354">
        <v>1798</v>
      </c>
    </row>
    <row r="1346" spans="75:79" x14ac:dyDescent="0.25">
      <c r="BW1346" s="32" t="s">
        <v>114</v>
      </c>
      <c r="BX1346" s="32" t="s">
        <v>732</v>
      </c>
      <c r="BY1346" s="32" t="s">
        <v>701</v>
      </c>
      <c r="BZ1346" s="32">
        <v>1210401</v>
      </c>
      <c r="CA1346" s="354">
        <v>1809</v>
      </c>
    </row>
    <row r="1347" spans="75:79" x14ac:dyDescent="0.25">
      <c r="BW1347" s="32" t="s">
        <v>114</v>
      </c>
      <c r="BX1347" s="32" t="s">
        <v>732</v>
      </c>
      <c r="BY1347" s="32" t="s">
        <v>685</v>
      </c>
      <c r="BZ1347" s="32">
        <v>1210401</v>
      </c>
      <c r="CA1347" s="354">
        <v>1620</v>
      </c>
    </row>
    <row r="1348" spans="75:79" x14ac:dyDescent="0.25">
      <c r="BW1348" s="32" t="s">
        <v>114</v>
      </c>
      <c r="BX1348" s="32" t="s">
        <v>732</v>
      </c>
      <c r="BY1348" s="32" t="s">
        <v>688</v>
      </c>
      <c r="BZ1348" s="32">
        <v>1210401</v>
      </c>
      <c r="CA1348" s="354">
        <v>1684</v>
      </c>
    </row>
    <row r="1349" spans="75:79" x14ac:dyDescent="0.25">
      <c r="BW1349" s="32" t="s">
        <v>114</v>
      </c>
      <c r="BX1349" s="32" t="s">
        <v>732</v>
      </c>
      <c r="BY1349" s="32" t="s">
        <v>692</v>
      </c>
      <c r="BZ1349" s="32">
        <v>1210401</v>
      </c>
      <c r="CA1349" s="354">
        <v>1729</v>
      </c>
    </row>
    <row r="1350" spans="75:79" x14ac:dyDescent="0.25">
      <c r="BW1350" s="32" t="s">
        <v>114</v>
      </c>
      <c r="BX1350" s="32" t="s">
        <v>732</v>
      </c>
      <c r="BY1350" s="32" t="s">
        <v>697</v>
      </c>
      <c r="BZ1350" s="32">
        <v>1210401</v>
      </c>
      <c r="CA1350" s="354">
        <v>1798</v>
      </c>
    </row>
    <row r="1351" spans="75:79" x14ac:dyDescent="0.25">
      <c r="BW1351" s="32" t="s">
        <v>114</v>
      </c>
      <c r="BX1351" s="32" t="s">
        <v>732</v>
      </c>
      <c r="BY1351" s="32" t="s">
        <v>702</v>
      </c>
      <c r="BZ1351" s="32">
        <v>1210401</v>
      </c>
      <c r="CA1351" s="354">
        <v>1809</v>
      </c>
    </row>
    <row r="1352" spans="75:79" x14ac:dyDescent="0.25">
      <c r="BW1352" s="32" t="s">
        <v>114</v>
      </c>
      <c r="BX1352" s="32" t="s">
        <v>732</v>
      </c>
      <c r="BY1352" s="32" t="s">
        <v>689</v>
      </c>
      <c r="BZ1352" s="32">
        <v>1210401</v>
      </c>
      <c r="CA1352" s="354">
        <v>1684</v>
      </c>
    </row>
    <row r="1353" spans="75:79" x14ac:dyDescent="0.25">
      <c r="BW1353" s="32" t="s">
        <v>114</v>
      </c>
      <c r="BX1353" s="32" t="s">
        <v>732</v>
      </c>
      <c r="BY1353" s="32" t="s">
        <v>693</v>
      </c>
      <c r="BZ1353" s="32">
        <v>1210401</v>
      </c>
      <c r="CA1353" s="354">
        <v>1729</v>
      </c>
    </row>
    <row r="1354" spans="75:79" x14ac:dyDescent="0.25">
      <c r="BW1354" s="32" t="s">
        <v>114</v>
      </c>
      <c r="BX1354" s="32" t="s">
        <v>732</v>
      </c>
      <c r="BY1354" s="32" t="s">
        <v>698</v>
      </c>
      <c r="BZ1354" s="32">
        <v>1210401</v>
      </c>
      <c r="CA1354" s="354">
        <v>1798</v>
      </c>
    </row>
    <row r="1355" spans="75:79" x14ac:dyDescent="0.25">
      <c r="BW1355" s="32" t="s">
        <v>114</v>
      </c>
      <c r="BX1355" s="32" t="s">
        <v>732</v>
      </c>
      <c r="BY1355" s="32" t="s">
        <v>694</v>
      </c>
      <c r="BZ1355" s="32">
        <v>1210401</v>
      </c>
      <c r="CA1355" s="354">
        <v>1729</v>
      </c>
    </row>
    <row r="1356" spans="75:79" x14ac:dyDescent="0.25">
      <c r="BW1356" s="32" t="s">
        <v>114</v>
      </c>
      <c r="BX1356" s="32" t="s">
        <v>732</v>
      </c>
      <c r="BY1356" s="32" t="s">
        <v>699</v>
      </c>
      <c r="BZ1356" s="32">
        <v>1210401</v>
      </c>
      <c r="CA1356" s="354">
        <v>1794</v>
      </c>
    </row>
    <row r="1357" spans="75:79" x14ac:dyDescent="0.25">
      <c r="BW1357" s="32" t="s">
        <v>114</v>
      </c>
      <c r="BX1357" s="32" t="s">
        <v>732</v>
      </c>
      <c r="BY1357" s="32" t="s">
        <v>703</v>
      </c>
      <c r="BZ1357" s="32">
        <v>1210401</v>
      </c>
      <c r="CA1357" s="354">
        <v>898</v>
      </c>
    </row>
    <row r="1358" spans="75:79" x14ac:dyDescent="0.25">
      <c r="BW1358" s="32" t="s">
        <v>114</v>
      </c>
      <c r="BX1358" s="32" t="s">
        <v>732</v>
      </c>
      <c r="BY1358" s="32" t="s">
        <v>704</v>
      </c>
      <c r="BZ1358" s="32">
        <v>1210401</v>
      </c>
      <c r="CA1358" s="354">
        <v>898</v>
      </c>
    </row>
    <row r="1359" spans="75:79" x14ac:dyDescent="0.25">
      <c r="BW1359" s="32" t="s">
        <v>114</v>
      </c>
      <c r="BX1359" s="32" t="s">
        <v>732</v>
      </c>
      <c r="BY1359" s="32" t="s">
        <v>706</v>
      </c>
      <c r="BZ1359" s="32">
        <v>1210401</v>
      </c>
      <c r="CA1359" s="354">
        <v>930</v>
      </c>
    </row>
    <row r="1360" spans="75:79" x14ac:dyDescent="0.25">
      <c r="BW1360" s="32" t="s">
        <v>114</v>
      </c>
      <c r="BX1360" s="32" t="s">
        <v>732</v>
      </c>
      <c r="BY1360" s="32" t="s">
        <v>708</v>
      </c>
      <c r="BZ1360" s="32">
        <v>1210401</v>
      </c>
      <c r="CA1360" s="354">
        <v>953</v>
      </c>
    </row>
    <row r="1361" spans="75:79" x14ac:dyDescent="0.25">
      <c r="BW1361" s="32" t="s">
        <v>114</v>
      </c>
      <c r="BX1361" s="32" t="s">
        <v>732</v>
      </c>
      <c r="BY1361" s="32" t="s">
        <v>705</v>
      </c>
      <c r="BZ1361" s="32">
        <v>1210401</v>
      </c>
      <c r="CA1361" s="354">
        <v>898</v>
      </c>
    </row>
    <row r="1362" spans="75:79" x14ac:dyDescent="0.25">
      <c r="BW1362" s="32" t="s">
        <v>114</v>
      </c>
      <c r="BX1362" s="32" t="s">
        <v>732</v>
      </c>
      <c r="BY1362" s="32" t="s">
        <v>707</v>
      </c>
      <c r="BZ1362" s="32">
        <v>1210401</v>
      </c>
      <c r="CA1362" s="354">
        <v>930</v>
      </c>
    </row>
    <row r="1363" spans="75:79" x14ac:dyDescent="0.25">
      <c r="BW1363" s="32" t="s">
        <v>114</v>
      </c>
      <c r="BX1363" s="32" t="s">
        <v>732</v>
      </c>
      <c r="BY1363" s="32" t="s">
        <v>709</v>
      </c>
      <c r="BZ1363" s="32">
        <v>1210401</v>
      </c>
      <c r="CA1363" s="354">
        <v>953</v>
      </c>
    </row>
    <row r="1364" spans="75:79" x14ac:dyDescent="0.25">
      <c r="BW1364" s="32" t="s">
        <v>114</v>
      </c>
      <c r="BX1364" s="32" t="s">
        <v>732</v>
      </c>
      <c r="BY1364" s="32" t="s">
        <v>710</v>
      </c>
      <c r="BZ1364" s="32">
        <v>1210401</v>
      </c>
      <c r="CA1364" s="354">
        <v>953</v>
      </c>
    </row>
    <row r="1365" spans="75:79" x14ac:dyDescent="0.25">
      <c r="BW1365" s="32" t="s">
        <v>114</v>
      </c>
      <c r="BX1365" s="32" t="s">
        <v>732</v>
      </c>
      <c r="BY1365" s="32" t="s">
        <v>711</v>
      </c>
      <c r="BZ1365" s="32">
        <v>1210401</v>
      </c>
      <c r="CA1365" s="354">
        <v>953</v>
      </c>
    </row>
    <row r="1366" spans="75:79" x14ac:dyDescent="0.25">
      <c r="BW1366" s="32" t="s">
        <v>114</v>
      </c>
      <c r="BX1366" s="32" t="s">
        <v>732</v>
      </c>
      <c r="BY1366" s="32" t="s">
        <v>712</v>
      </c>
      <c r="BZ1366" s="32">
        <v>1210401</v>
      </c>
      <c r="CA1366" s="354">
        <v>1111</v>
      </c>
    </row>
    <row r="1367" spans="75:79" x14ac:dyDescent="0.25">
      <c r="BW1367" s="32" t="s">
        <v>114</v>
      </c>
      <c r="BX1367" s="32" t="s">
        <v>732</v>
      </c>
      <c r="BY1367" s="32" t="s">
        <v>733</v>
      </c>
      <c r="BZ1367" s="32">
        <v>1210401</v>
      </c>
      <c r="CA1367" s="354">
        <v>729</v>
      </c>
    </row>
    <row r="1368" spans="75:79" x14ac:dyDescent="0.25">
      <c r="BW1368" s="32" t="s">
        <v>114</v>
      </c>
      <c r="BX1368" s="32" t="s">
        <v>732</v>
      </c>
      <c r="BY1368" s="32" t="s">
        <v>679</v>
      </c>
      <c r="BZ1368" s="32">
        <v>1210401</v>
      </c>
      <c r="CA1368" s="354">
        <v>659</v>
      </c>
    </row>
    <row r="1369" spans="75:79" x14ac:dyDescent="0.25">
      <c r="BW1369" s="32" t="s">
        <v>114</v>
      </c>
      <c r="BX1369" s="32" t="s">
        <v>732</v>
      </c>
      <c r="BY1369" s="32" t="s">
        <v>739</v>
      </c>
      <c r="BZ1369" s="32">
        <v>1210401</v>
      </c>
      <c r="CA1369" s="354">
        <v>679</v>
      </c>
    </row>
    <row r="1370" spans="75:79" x14ac:dyDescent="0.25">
      <c r="BW1370" s="32" t="s">
        <v>114</v>
      </c>
      <c r="BX1370" s="32" t="s">
        <v>732</v>
      </c>
      <c r="BY1370" s="32" t="s">
        <v>740</v>
      </c>
      <c r="BZ1370" s="32">
        <v>1210401</v>
      </c>
      <c r="CA1370" s="354">
        <v>669</v>
      </c>
    </row>
    <row r="1371" spans="75:79" x14ac:dyDescent="0.25">
      <c r="BW1371" s="32" t="s">
        <v>114</v>
      </c>
      <c r="BX1371" s="32" t="s">
        <v>732</v>
      </c>
      <c r="BY1371" s="32" t="s">
        <v>677</v>
      </c>
      <c r="BZ1371" s="32">
        <v>1210401</v>
      </c>
      <c r="CA1371" s="354">
        <v>679</v>
      </c>
    </row>
    <row r="1372" spans="75:79" x14ac:dyDescent="0.25">
      <c r="BW1372" s="32" t="s">
        <v>114</v>
      </c>
      <c r="BX1372" s="32" t="s">
        <v>732</v>
      </c>
      <c r="BY1372" s="32" t="s">
        <v>681</v>
      </c>
      <c r="BZ1372" s="32">
        <v>1210401</v>
      </c>
      <c r="CA1372" s="354">
        <v>669</v>
      </c>
    </row>
    <row r="1373" spans="75:79" x14ac:dyDescent="0.25">
      <c r="BW1373" s="32" t="s">
        <v>114</v>
      </c>
      <c r="BX1373" s="32" t="s">
        <v>732</v>
      </c>
      <c r="BY1373" s="32" t="s">
        <v>1208</v>
      </c>
      <c r="BZ1373" s="32">
        <v>1210401</v>
      </c>
      <c r="CA1373" s="354">
        <v>679</v>
      </c>
    </row>
    <row r="1374" spans="75:79" x14ac:dyDescent="0.25">
      <c r="BW1374" s="32" t="s">
        <v>114</v>
      </c>
      <c r="BX1374" s="32" t="s">
        <v>732</v>
      </c>
      <c r="BY1374" s="32" t="s">
        <v>1209</v>
      </c>
      <c r="BZ1374" s="32">
        <v>1210401</v>
      </c>
      <c r="CA1374" s="354">
        <v>669</v>
      </c>
    </row>
    <row r="1375" spans="75:79" x14ac:dyDescent="0.25">
      <c r="BW1375" s="32" t="s">
        <v>114</v>
      </c>
      <c r="BX1375" s="32" t="s">
        <v>732</v>
      </c>
      <c r="BY1375" s="32" t="s">
        <v>675</v>
      </c>
      <c r="BZ1375" s="32">
        <v>1210401</v>
      </c>
      <c r="CA1375" s="354">
        <v>659</v>
      </c>
    </row>
    <row r="1376" spans="75:79" x14ac:dyDescent="0.25">
      <c r="BW1376" s="32" t="s">
        <v>114</v>
      </c>
      <c r="BX1376" s="32" t="s">
        <v>732</v>
      </c>
      <c r="BY1376" s="32" t="s">
        <v>676</v>
      </c>
      <c r="BZ1376" s="32">
        <v>1210401</v>
      </c>
      <c r="CA1376" s="354">
        <v>659</v>
      </c>
    </row>
    <row r="1377" spans="75:79" x14ac:dyDescent="0.25">
      <c r="BW1377" s="32" t="s">
        <v>114</v>
      </c>
      <c r="BX1377" s="32" t="s">
        <v>732</v>
      </c>
      <c r="BY1377" s="32" t="s">
        <v>680</v>
      </c>
      <c r="BZ1377" s="32">
        <v>1210401</v>
      </c>
      <c r="CA1377" s="354">
        <v>679</v>
      </c>
    </row>
    <row r="1378" spans="75:79" x14ac:dyDescent="0.25">
      <c r="BW1378" s="32" t="s">
        <v>114</v>
      </c>
      <c r="BX1378" s="32" t="s">
        <v>732</v>
      </c>
      <c r="BY1378" s="32" t="s">
        <v>682</v>
      </c>
      <c r="BZ1378" s="32">
        <v>1210401</v>
      </c>
      <c r="CA1378" s="354">
        <v>669</v>
      </c>
    </row>
    <row r="1379" spans="75:79" x14ac:dyDescent="0.25">
      <c r="BW1379" s="32" t="s">
        <v>114</v>
      </c>
      <c r="BX1379" s="32" t="s">
        <v>732</v>
      </c>
      <c r="BY1379" s="32" t="s">
        <v>678</v>
      </c>
      <c r="BZ1379" s="32">
        <v>1210401</v>
      </c>
      <c r="CA1379" s="354">
        <v>699</v>
      </c>
    </row>
    <row r="1380" spans="75:79" x14ac:dyDescent="0.25">
      <c r="BW1380" s="32" t="s">
        <v>114</v>
      </c>
      <c r="BX1380" s="32" t="s">
        <v>732</v>
      </c>
      <c r="BY1380" s="32" t="s">
        <v>713</v>
      </c>
      <c r="BZ1380" s="32">
        <v>1210401</v>
      </c>
      <c r="CA1380" s="354">
        <v>729</v>
      </c>
    </row>
    <row r="1381" spans="75:79" x14ac:dyDescent="0.25">
      <c r="BW1381" s="32" t="s">
        <v>114</v>
      </c>
      <c r="BX1381" s="32" t="s">
        <v>732</v>
      </c>
      <c r="BY1381" s="32" t="s">
        <v>715</v>
      </c>
      <c r="BZ1381" s="32">
        <v>1210401</v>
      </c>
      <c r="CA1381" s="354">
        <v>774</v>
      </c>
    </row>
    <row r="1382" spans="75:79" x14ac:dyDescent="0.25">
      <c r="BW1382" s="32" t="s">
        <v>114</v>
      </c>
      <c r="BX1382" s="32" t="s">
        <v>732</v>
      </c>
      <c r="BY1382" s="32" t="s">
        <v>718</v>
      </c>
      <c r="BZ1382" s="32">
        <v>1210401</v>
      </c>
      <c r="CA1382" s="354">
        <v>847</v>
      </c>
    </row>
    <row r="1383" spans="75:79" x14ac:dyDescent="0.25">
      <c r="BW1383" s="32" t="s">
        <v>114</v>
      </c>
      <c r="BX1383" s="32" t="s">
        <v>732</v>
      </c>
      <c r="BY1383" s="32" t="s">
        <v>714</v>
      </c>
      <c r="BZ1383" s="32">
        <v>1210401</v>
      </c>
      <c r="CA1383" s="354">
        <v>729</v>
      </c>
    </row>
    <row r="1384" spans="75:79" x14ac:dyDescent="0.25">
      <c r="BW1384" s="32" t="s">
        <v>114</v>
      </c>
      <c r="BX1384" s="32" t="s">
        <v>732</v>
      </c>
      <c r="BY1384" s="32" t="s">
        <v>716</v>
      </c>
      <c r="BZ1384" s="32">
        <v>1210401</v>
      </c>
      <c r="CA1384" s="354">
        <v>774</v>
      </c>
    </row>
    <row r="1385" spans="75:79" x14ac:dyDescent="0.25">
      <c r="BW1385" s="32" t="s">
        <v>114</v>
      </c>
      <c r="BX1385" s="32" t="s">
        <v>732</v>
      </c>
      <c r="BY1385" s="32" t="s">
        <v>719</v>
      </c>
      <c r="BZ1385" s="32">
        <v>1210401</v>
      </c>
      <c r="CA1385" s="354">
        <v>847</v>
      </c>
    </row>
    <row r="1386" spans="75:79" x14ac:dyDescent="0.25">
      <c r="BW1386" s="32" t="s">
        <v>114</v>
      </c>
      <c r="BX1386" s="32" t="s">
        <v>732</v>
      </c>
      <c r="BY1386" s="32" t="s">
        <v>717</v>
      </c>
      <c r="BZ1386" s="32">
        <v>1210401</v>
      </c>
      <c r="CA1386" s="354">
        <v>774</v>
      </c>
    </row>
    <row r="1387" spans="75:79" x14ac:dyDescent="0.25">
      <c r="BW1387" s="32" t="s">
        <v>114</v>
      </c>
      <c r="BX1387" s="32" t="s">
        <v>732</v>
      </c>
      <c r="BY1387" s="32" t="s">
        <v>720</v>
      </c>
      <c r="BZ1387" s="32">
        <v>1210401</v>
      </c>
      <c r="CA1387" s="354">
        <v>847</v>
      </c>
    </row>
    <row r="1388" spans="75:79" x14ac:dyDescent="0.25">
      <c r="BW1388" s="32" t="s">
        <v>114</v>
      </c>
      <c r="BX1388" s="32" t="s">
        <v>732</v>
      </c>
      <c r="BY1388" s="32" t="s">
        <v>723</v>
      </c>
      <c r="BZ1388" s="32">
        <v>1210401</v>
      </c>
      <c r="CA1388" s="354">
        <v>945</v>
      </c>
    </row>
    <row r="1389" spans="75:79" x14ac:dyDescent="0.25">
      <c r="BW1389" s="32" t="s">
        <v>114</v>
      </c>
      <c r="BX1389" s="32" t="s">
        <v>732</v>
      </c>
      <c r="BY1389" s="32" t="s">
        <v>721</v>
      </c>
      <c r="BZ1389" s="32">
        <v>1210401</v>
      </c>
      <c r="CA1389" s="354">
        <v>847</v>
      </c>
    </row>
    <row r="1390" spans="75:79" x14ac:dyDescent="0.25">
      <c r="BW1390" s="32" t="s">
        <v>114</v>
      </c>
      <c r="BX1390" s="32" t="s">
        <v>732</v>
      </c>
      <c r="BY1390" s="32" t="s">
        <v>724</v>
      </c>
      <c r="BZ1390" s="32">
        <v>1210401</v>
      </c>
      <c r="CA1390" s="354">
        <v>945</v>
      </c>
    </row>
    <row r="1391" spans="75:79" x14ac:dyDescent="0.25">
      <c r="BW1391" s="32" t="s">
        <v>114</v>
      </c>
      <c r="BX1391" s="32" t="s">
        <v>732</v>
      </c>
      <c r="BY1391" s="32" t="s">
        <v>722</v>
      </c>
      <c r="BZ1391" s="32">
        <v>1210401</v>
      </c>
      <c r="CA1391" s="354">
        <v>847</v>
      </c>
    </row>
    <row r="1392" spans="75:79" x14ac:dyDescent="0.25">
      <c r="BW1392" s="32" t="s">
        <v>114</v>
      </c>
      <c r="BX1392" s="32" t="s">
        <v>732</v>
      </c>
      <c r="BY1392" s="32" t="s">
        <v>725</v>
      </c>
      <c r="BZ1392" s="32">
        <v>1210401</v>
      </c>
      <c r="CA1392" s="354">
        <v>945</v>
      </c>
    </row>
    <row r="1393" spans="75:79" x14ac:dyDescent="0.25">
      <c r="BW1393" s="32" t="s">
        <v>114</v>
      </c>
      <c r="BX1393" s="32" t="s">
        <v>732</v>
      </c>
      <c r="BY1393" s="32" t="s">
        <v>727</v>
      </c>
      <c r="BZ1393" s="32">
        <v>1210401</v>
      </c>
      <c r="CA1393" s="354">
        <v>945</v>
      </c>
    </row>
    <row r="1394" spans="75:79" x14ac:dyDescent="0.25">
      <c r="BW1394" s="32" t="s">
        <v>114</v>
      </c>
      <c r="BX1394" s="32" t="s">
        <v>732</v>
      </c>
      <c r="BY1394" s="32" t="s">
        <v>729</v>
      </c>
      <c r="BZ1394" s="32">
        <v>1210401</v>
      </c>
      <c r="CA1394" s="354">
        <v>945</v>
      </c>
    </row>
    <row r="1395" spans="75:79" x14ac:dyDescent="0.25">
      <c r="BW1395" s="32" t="s">
        <v>114</v>
      </c>
      <c r="BX1395" s="32" t="s">
        <v>732</v>
      </c>
      <c r="BY1395" s="32" t="s">
        <v>668</v>
      </c>
      <c r="BZ1395" s="32">
        <v>1210401</v>
      </c>
      <c r="CA1395" s="354">
        <v>706</v>
      </c>
    </row>
    <row r="1396" spans="75:79" x14ac:dyDescent="0.25">
      <c r="BW1396" s="32" t="s">
        <v>114</v>
      </c>
      <c r="BX1396" s="32" t="s">
        <v>732</v>
      </c>
      <c r="BY1396" s="32" t="s">
        <v>666</v>
      </c>
      <c r="BZ1396" s="32">
        <v>1210401</v>
      </c>
      <c r="CA1396" s="354">
        <v>575</v>
      </c>
    </row>
    <row r="1397" spans="75:79" x14ac:dyDescent="0.25">
      <c r="BW1397" s="32" t="s">
        <v>114</v>
      </c>
      <c r="BX1397" s="32" t="s">
        <v>732</v>
      </c>
      <c r="BY1397" s="32" t="s">
        <v>674</v>
      </c>
      <c r="BZ1397" s="32">
        <v>1210401</v>
      </c>
      <c r="CA1397" s="354">
        <v>706</v>
      </c>
    </row>
    <row r="1398" spans="75:79" x14ac:dyDescent="0.25">
      <c r="BW1398" s="32" t="s">
        <v>114</v>
      </c>
      <c r="BX1398" s="32" t="s">
        <v>732</v>
      </c>
      <c r="BY1398" s="32" t="s">
        <v>669</v>
      </c>
      <c r="BZ1398" s="32">
        <v>1210401</v>
      </c>
      <c r="CA1398" s="354">
        <v>706</v>
      </c>
    </row>
    <row r="1399" spans="75:79" x14ac:dyDescent="0.25">
      <c r="BW1399" s="32" t="s">
        <v>114</v>
      </c>
      <c r="BX1399" s="32" t="s">
        <v>732</v>
      </c>
      <c r="BY1399" s="32" t="s">
        <v>671</v>
      </c>
      <c r="BZ1399" s="32">
        <v>1210401</v>
      </c>
      <c r="CA1399" s="354">
        <v>729</v>
      </c>
    </row>
    <row r="1400" spans="75:79" x14ac:dyDescent="0.25">
      <c r="BW1400" s="32" t="s">
        <v>114</v>
      </c>
      <c r="BX1400" s="32" t="s">
        <v>732</v>
      </c>
      <c r="BY1400" s="32" t="s">
        <v>667</v>
      </c>
      <c r="BZ1400" s="32">
        <v>1210401</v>
      </c>
      <c r="CA1400" s="354">
        <v>575</v>
      </c>
    </row>
    <row r="1401" spans="75:79" x14ac:dyDescent="0.25">
      <c r="BW1401" s="32" t="s">
        <v>114</v>
      </c>
      <c r="BX1401" s="32" t="s">
        <v>732</v>
      </c>
      <c r="BY1401" s="32" t="s">
        <v>670</v>
      </c>
      <c r="BZ1401" s="32">
        <v>1210401</v>
      </c>
      <c r="CA1401" s="354">
        <v>706</v>
      </c>
    </row>
    <row r="1402" spans="75:79" x14ac:dyDescent="0.25">
      <c r="BW1402" s="32" t="s">
        <v>114</v>
      </c>
      <c r="BX1402" s="32" t="s">
        <v>732</v>
      </c>
      <c r="BY1402" s="32" t="s">
        <v>672</v>
      </c>
      <c r="BZ1402" s="32">
        <v>1210401</v>
      </c>
      <c r="CA1402" s="354">
        <v>729</v>
      </c>
    </row>
    <row r="1403" spans="75:79" x14ac:dyDescent="0.25">
      <c r="BW1403" s="32" t="s">
        <v>114</v>
      </c>
      <c r="BX1403" s="32" t="s">
        <v>732</v>
      </c>
      <c r="BY1403" s="32" t="s">
        <v>673</v>
      </c>
      <c r="BZ1403" s="32">
        <v>1210401</v>
      </c>
      <c r="CA1403" s="354">
        <v>774</v>
      </c>
    </row>
    <row r="1404" spans="75:79" x14ac:dyDescent="0.25">
      <c r="BW1404" s="32" t="s">
        <v>114</v>
      </c>
      <c r="BX1404" s="32" t="s">
        <v>391</v>
      </c>
      <c r="BY1404" s="32" t="s">
        <v>683</v>
      </c>
      <c r="BZ1404" s="32">
        <v>1210401</v>
      </c>
      <c r="CA1404" s="356">
        <v>2641</v>
      </c>
    </row>
    <row r="1405" spans="75:79" x14ac:dyDescent="0.25">
      <c r="BW1405" s="32" t="s">
        <v>114</v>
      </c>
      <c r="BX1405" s="32" t="s">
        <v>391</v>
      </c>
      <c r="BY1405" s="32" t="s">
        <v>686</v>
      </c>
      <c r="BZ1405" s="32">
        <v>1210401</v>
      </c>
      <c r="CA1405" s="356">
        <v>2662</v>
      </c>
    </row>
    <row r="1406" spans="75:79" x14ac:dyDescent="0.25">
      <c r="BW1406" s="32" t="s">
        <v>114</v>
      </c>
      <c r="BX1406" s="32" t="s">
        <v>391</v>
      </c>
      <c r="BY1406" s="32" t="s">
        <v>690</v>
      </c>
      <c r="BZ1406" s="32">
        <v>1210401</v>
      </c>
      <c r="CA1406" s="356">
        <v>2672</v>
      </c>
    </row>
    <row r="1407" spans="75:79" x14ac:dyDescent="0.25">
      <c r="BW1407" s="32" t="s">
        <v>114</v>
      </c>
      <c r="BX1407" s="32" t="s">
        <v>391</v>
      </c>
      <c r="BY1407" s="32" t="s">
        <v>695</v>
      </c>
      <c r="BZ1407" s="32">
        <v>1210401</v>
      </c>
      <c r="CA1407" s="356">
        <v>2814</v>
      </c>
    </row>
    <row r="1408" spans="75:79" x14ac:dyDescent="0.25">
      <c r="BW1408" s="32" t="s">
        <v>114</v>
      </c>
      <c r="BX1408" s="32" t="s">
        <v>391</v>
      </c>
      <c r="BY1408" s="32" t="s">
        <v>700</v>
      </c>
      <c r="BZ1408" s="32">
        <v>1210401</v>
      </c>
      <c r="CA1408" s="356">
        <v>2835</v>
      </c>
    </row>
    <row r="1409" spans="75:79" x14ac:dyDescent="0.25">
      <c r="BW1409" s="32" t="s">
        <v>114</v>
      </c>
      <c r="BX1409" s="32" t="s">
        <v>391</v>
      </c>
      <c r="BY1409" s="32" t="s">
        <v>684</v>
      </c>
      <c r="BZ1409" s="32">
        <v>1210401</v>
      </c>
      <c r="CA1409" s="356">
        <v>2641</v>
      </c>
    </row>
    <row r="1410" spans="75:79" x14ac:dyDescent="0.25">
      <c r="BW1410" s="32" t="s">
        <v>114</v>
      </c>
      <c r="BX1410" s="32" t="s">
        <v>391</v>
      </c>
      <c r="BY1410" s="32" t="s">
        <v>687</v>
      </c>
      <c r="BZ1410" s="32">
        <v>1210401</v>
      </c>
      <c r="CA1410" s="356">
        <v>2662</v>
      </c>
    </row>
    <row r="1411" spans="75:79" x14ac:dyDescent="0.25">
      <c r="BW1411" s="32" t="s">
        <v>114</v>
      </c>
      <c r="BX1411" s="32" t="s">
        <v>391</v>
      </c>
      <c r="BY1411" s="32" t="s">
        <v>691</v>
      </c>
      <c r="BZ1411" s="32">
        <v>1210401</v>
      </c>
      <c r="CA1411" s="356">
        <v>2672</v>
      </c>
    </row>
    <row r="1412" spans="75:79" x14ac:dyDescent="0.25">
      <c r="BW1412" s="32" t="s">
        <v>114</v>
      </c>
      <c r="BX1412" s="32" t="s">
        <v>391</v>
      </c>
      <c r="BY1412" s="32" t="s">
        <v>696</v>
      </c>
      <c r="BZ1412" s="32">
        <v>1210401</v>
      </c>
      <c r="CA1412" s="356">
        <v>2814</v>
      </c>
    </row>
    <row r="1413" spans="75:79" x14ac:dyDescent="0.25">
      <c r="BW1413" s="32" t="s">
        <v>114</v>
      </c>
      <c r="BX1413" s="32" t="s">
        <v>391</v>
      </c>
      <c r="BY1413" s="32" t="s">
        <v>701</v>
      </c>
      <c r="BZ1413" s="32">
        <v>1210401</v>
      </c>
      <c r="CA1413" s="356">
        <v>2835</v>
      </c>
    </row>
    <row r="1414" spans="75:79" x14ac:dyDescent="0.25">
      <c r="BW1414" s="32" t="s">
        <v>114</v>
      </c>
      <c r="BX1414" s="32" t="s">
        <v>391</v>
      </c>
      <c r="BY1414" s="32" t="s">
        <v>685</v>
      </c>
      <c r="BZ1414" s="32">
        <v>1210401</v>
      </c>
      <c r="CA1414" s="356">
        <v>2641</v>
      </c>
    </row>
    <row r="1415" spans="75:79" x14ac:dyDescent="0.25">
      <c r="BW1415" s="32" t="s">
        <v>114</v>
      </c>
      <c r="BX1415" s="32" t="s">
        <v>391</v>
      </c>
      <c r="BY1415" s="32" t="s">
        <v>688</v>
      </c>
      <c r="BZ1415" s="32">
        <v>1210401</v>
      </c>
      <c r="CA1415" s="356">
        <v>2662</v>
      </c>
    </row>
    <row r="1416" spans="75:79" x14ac:dyDescent="0.25">
      <c r="BW1416" s="32" t="s">
        <v>114</v>
      </c>
      <c r="BX1416" s="32" t="s">
        <v>391</v>
      </c>
      <c r="BY1416" s="32" t="s">
        <v>692</v>
      </c>
      <c r="BZ1416" s="32">
        <v>1210401</v>
      </c>
      <c r="CA1416" s="356">
        <v>2672</v>
      </c>
    </row>
    <row r="1417" spans="75:79" x14ac:dyDescent="0.25">
      <c r="BW1417" s="32" t="s">
        <v>114</v>
      </c>
      <c r="BX1417" s="32" t="s">
        <v>391</v>
      </c>
      <c r="BY1417" s="32" t="s">
        <v>697</v>
      </c>
      <c r="BZ1417" s="32">
        <v>1210401</v>
      </c>
      <c r="CA1417" s="356">
        <v>2814</v>
      </c>
    </row>
    <row r="1418" spans="75:79" x14ac:dyDescent="0.25">
      <c r="BW1418" s="32" t="s">
        <v>114</v>
      </c>
      <c r="BX1418" s="32" t="s">
        <v>391</v>
      </c>
      <c r="BY1418" s="32" t="s">
        <v>702</v>
      </c>
      <c r="BZ1418" s="32">
        <v>1210401</v>
      </c>
      <c r="CA1418" s="356">
        <v>2835</v>
      </c>
    </row>
    <row r="1419" spans="75:79" x14ac:dyDescent="0.25">
      <c r="BW1419" s="32" t="s">
        <v>114</v>
      </c>
      <c r="BX1419" s="32" t="s">
        <v>391</v>
      </c>
      <c r="BY1419" s="32" t="s">
        <v>689</v>
      </c>
      <c r="BZ1419" s="32">
        <v>1210401</v>
      </c>
      <c r="CA1419" s="356">
        <v>2662</v>
      </c>
    </row>
    <row r="1420" spans="75:79" x14ac:dyDescent="0.25">
      <c r="BW1420" s="32" t="s">
        <v>114</v>
      </c>
      <c r="BX1420" s="32" t="s">
        <v>391</v>
      </c>
      <c r="BY1420" s="32" t="s">
        <v>693</v>
      </c>
      <c r="BZ1420" s="32">
        <v>1210401</v>
      </c>
      <c r="CA1420" s="356">
        <v>2672</v>
      </c>
    </row>
    <row r="1421" spans="75:79" x14ac:dyDescent="0.25">
      <c r="BW1421" s="32" t="s">
        <v>114</v>
      </c>
      <c r="BX1421" s="32" t="s">
        <v>391</v>
      </c>
      <c r="BY1421" s="32" t="s">
        <v>698</v>
      </c>
      <c r="BZ1421" s="32">
        <v>1210401</v>
      </c>
      <c r="CA1421" s="356">
        <v>2814</v>
      </c>
    </row>
    <row r="1422" spans="75:79" x14ac:dyDescent="0.25">
      <c r="BW1422" s="32" t="s">
        <v>114</v>
      </c>
      <c r="BX1422" s="32" t="s">
        <v>391</v>
      </c>
      <c r="BY1422" s="32" t="s">
        <v>738</v>
      </c>
      <c r="BZ1422" s="32">
        <v>1210401</v>
      </c>
      <c r="CA1422" s="356">
        <v>2662</v>
      </c>
    </row>
    <row r="1423" spans="75:79" x14ac:dyDescent="0.25">
      <c r="BW1423" s="32" t="s">
        <v>114</v>
      </c>
      <c r="BX1423" s="32" t="s">
        <v>391</v>
      </c>
      <c r="BY1423" s="32" t="s">
        <v>694</v>
      </c>
      <c r="BZ1423" s="32">
        <v>1210401</v>
      </c>
      <c r="CA1423" s="356">
        <v>2672</v>
      </c>
    </row>
    <row r="1424" spans="75:79" x14ac:dyDescent="0.25">
      <c r="BW1424" s="32" t="s">
        <v>114</v>
      </c>
      <c r="BX1424" s="32" t="s">
        <v>391</v>
      </c>
      <c r="BY1424" s="32" t="s">
        <v>699</v>
      </c>
      <c r="BZ1424" s="32">
        <v>1210401</v>
      </c>
      <c r="CA1424" s="356">
        <v>2814</v>
      </c>
    </row>
    <row r="1425" spans="75:79" x14ac:dyDescent="0.25">
      <c r="BW1425" s="32" t="s">
        <v>114</v>
      </c>
      <c r="BX1425" s="32" t="s">
        <v>391</v>
      </c>
      <c r="BY1425" s="32" t="s">
        <v>703</v>
      </c>
      <c r="BZ1425" s="32">
        <v>1210401</v>
      </c>
      <c r="CA1425" s="356">
        <v>1710</v>
      </c>
    </row>
    <row r="1426" spans="75:79" x14ac:dyDescent="0.25">
      <c r="BW1426" s="32" t="s">
        <v>114</v>
      </c>
      <c r="BX1426" s="32" t="s">
        <v>391</v>
      </c>
      <c r="BY1426" s="32" t="s">
        <v>704</v>
      </c>
      <c r="BZ1426" s="32">
        <v>1210401</v>
      </c>
      <c r="CA1426" s="356">
        <v>1710</v>
      </c>
    </row>
    <row r="1427" spans="75:79" x14ac:dyDescent="0.25">
      <c r="BW1427" s="32" t="s">
        <v>114</v>
      </c>
      <c r="BX1427" s="32" t="s">
        <v>391</v>
      </c>
      <c r="BY1427" s="32" t="s">
        <v>706</v>
      </c>
      <c r="BZ1427" s="32">
        <v>1210401</v>
      </c>
      <c r="CA1427" s="356">
        <v>1772</v>
      </c>
    </row>
    <row r="1428" spans="75:79" x14ac:dyDescent="0.25">
      <c r="BW1428" s="32" t="s">
        <v>114</v>
      </c>
      <c r="BX1428" s="32" t="s">
        <v>391</v>
      </c>
      <c r="BY1428" s="32" t="s">
        <v>708</v>
      </c>
      <c r="BZ1428" s="32">
        <v>1210401</v>
      </c>
      <c r="CA1428" s="356">
        <v>1801</v>
      </c>
    </row>
    <row r="1429" spans="75:79" x14ac:dyDescent="0.25">
      <c r="BW1429" s="32" t="s">
        <v>114</v>
      </c>
      <c r="BX1429" s="32" t="s">
        <v>391</v>
      </c>
      <c r="BY1429" s="32" t="s">
        <v>705</v>
      </c>
      <c r="BZ1429" s="32">
        <v>1210401</v>
      </c>
      <c r="CA1429" s="356">
        <v>1710</v>
      </c>
    </row>
    <row r="1430" spans="75:79" x14ac:dyDescent="0.25">
      <c r="BW1430" s="32" t="s">
        <v>114</v>
      </c>
      <c r="BX1430" s="32" t="s">
        <v>391</v>
      </c>
      <c r="BY1430" s="32" t="s">
        <v>707</v>
      </c>
      <c r="BZ1430" s="32">
        <v>1210401</v>
      </c>
      <c r="CA1430" s="356">
        <v>1772</v>
      </c>
    </row>
    <row r="1431" spans="75:79" x14ac:dyDescent="0.25">
      <c r="BW1431" s="32" t="s">
        <v>114</v>
      </c>
      <c r="BX1431" s="32" t="s">
        <v>391</v>
      </c>
      <c r="BY1431" s="32" t="s">
        <v>709</v>
      </c>
      <c r="BZ1431" s="32">
        <v>1210401</v>
      </c>
      <c r="CA1431" s="356">
        <v>1801</v>
      </c>
    </row>
    <row r="1432" spans="75:79" x14ac:dyDescent="0.25">
      <c r="BW1432" s="32" t="s">
        <v>114</v>
      </c>
      <c r="BX1432" s="32" t="s">
        <v>391</v>
      </c>
      <c r="BY1432" s="32" t="s">
        <v>710</v>
      </c>
      <c r="BZ1432" s="32">
        <v>1210401</v>
      </c>
      <c r="CA1432" s="356">
        <v>1801</v>
      </c>
    </row>
    <row r="1433" spans="75:79" x14ac:dyDescent="0.25">
      <c r="BW1433" s="32" t="s">
        <v>114</v>
      </c>
      <c r="BX1433" s="32" t="s">
        <v>391</v>
      </c>
      <c r="BY1433" s="32" t="s">
        <v>711</v>
      </c>
      <c r="BZ1433" s="32">
        <v>1210401</v>
      </c>
      <c r="CA1433" s="356">
        <v>1801</v>
      </c>
    </row>
    <row r="1434" spans="75:79" x14ac:dyDescent="0.25">
      <c r="BW1434" s="32" t="s">
        <v>114</v>
      </c>
      <c r="BX1434" s="32" t="s">
        <v>391</v>
      </c>
      <c r="BY1434" s="32" t="s">
        <v>712</v>
      </c>
      <c r="BZ1434" s="32">
        <v>1210401</v>
      </c>
      <c r="CA1434" s="356">
        <v>1845</v>
      </c>
    </row>
    <row r="1435" spans="75:79" x14ac:dyDescent="0.25">
      <c r="BW1435" s="32" t="s">
        <v>114</v>
      </c>
      <c r="BX1435" s="32" t="s">
        <v>391</v>
      </c>
      <c r="BY1435" s="32" t="s">
        <v>733</v>
      </c>
      <c r="BZ1435" s="32">
        <v>1210401</v>
      </c>
      <c r="CA1435" s="356">
        <v>1325</v>
      </c>
    </row>
    <row r="1436" spans="75:79" x14ac:dyDescent="0.25">
      <c r="BW1436" s="32" t="s">
        <v>114</v>
      </c>
      <c r="BX1436" s="32" t="s">
        <v>391</v>
      </c>
      <c r="BY1436" s="32" t="s">
        <v>739</v>
      </c>
      <c r="BZ1436" s="32">
        <v>1210401</v>
      </c>
      <c r="CA1436" s="356">
        <v>1167</v>
      </c>
    </row>
    <row r="1437" spans="75:79" x14ac:dyDescent="0.25">
      <c r="BW1437" s="32" t="s">
        <v>114</v>
      </c>
      <c r="BX1437" s="32" t="s">
        <v>391</v>
      </c>
      <c r="BY1437" s="32" t="s">
        <v>740</v>
      </c>
      <c r="BZ1437" s="32">
        <v>1210401</v>
      </c>
      <c r="CA1437" s="356">
        <v>1167</v>
      </c>
    </row>
    <row r="1438" spans="75:79" x14ac:dyDescent="0.25">
      <c r="BW1438" s="32" t="s">
        <v>114</v>
      </c>
      <c r="BX1438" s="32" t="s">
        <v>391</v>
      </c>
      <c r="BY1438" s="32" t="s">
        <v>677</v>
      </c>
      <c r="BZ1438" s="32">
        <v>1210401</v>
      </c>
      <c r="CA1438" s="356">
        <v>1167</v>
      </c>
    </row>
    <row r="1439" spans="75:79" x14ac:dyDescent="0.25">
      <c r="BW1439" s="32" t="s">
        <v>114</v>
      </c>
      <c r="BX1439" s="32" t="s">
        <v>391</v>
      </c>
      <c r="BY1439" s="32" t="s">
        <v>681</v>
      </c>
      <c r="BZ1439" s="32">
        <v>1210401</v>
      </c>
      <c r="CA1439" s="356">
        <v>1167</v>
      </c>
    </row>
    <row r="1440" spans="75:79" x14ac:dyDescent="0.25">
      <c r="BW1440" s="32" t="s">
        <v>114</v>
      </c>
      <c r="BX1440" s="32" t="s">
        <v>391</v>
      </c>
      <c r="BY1440" s="32" t="s">
        <v>1208</v>
      </c>
      <c r="BZ1440" s="32">
        <v>1210401</v>
      </c>
      <c r="CA1440" s="356">
        <v>1193</v>
      </c>
    </row>
    <row r="1441" spans="75:79" x14ac:dyDescent="0.25">
      <c r="BW1441" s="32" t="s">
        <v>114</v>
      </c>
      <c r="BX1441" s="32" t="s">
        <v>391</v>
      </c>
      <c r="BY1441" s="32" t="s">
        <v>1209</v>
      </c>
      <c r="BZ1441" s="32">
        <v>1210401</v>
      </c>
      <c r="CA1441" s="356">
        <v>1193</v>
      </c>
    </row>
    <row r="1442" spans="75:79" x14ac:dyDescent="0.25">
      <c r="BW1442" s="32" t="s">
        <v>114</v>
      </c>
      <c r="BX1442" s="32" t="s">
        <v>391</v>
      </c>
      <c r="BY1442" s="32" t="s">
        <v>675</v>
      </c>
      <c r="BZ1442" s="32">
        <v>1210401</v>
      </c>
      <c r="CA1442" s="356">
        <v>1178</v>
      </c>
    </row>
    <row r="1443" spans="75:79" x14ac:dyDescent="0.25">
      <c r="BW1443" s="32" t="s">
        <v>114</v>
      </c>
      <c r="BX1443" s="32" t="s">
        <v>391</v>
      </c>
      <c r="BY1443" s="32" t="s">
        <v>676</v>
      </c>
      <c r="BZ1443" s="32">
        <v>1210401</v>
      </c>
      <c r="CA1443" s="356">
        <v>1206</v>
      </c>
    </row>
    <row r="1444" spans="75:79" x14ac:dyDescent="0.25">
      <c r="BW1444" s="32" t="s">
        <v>114</v>
      </c>
      <c r="BX1444" s="32" t="s">
        <v>391</v>
      </c>
      <c r="BY1444" s="32" t="s">
        <v>680</v>
      </c>
      <c r="BZ1444" s="32">
        <v>1210401</v>
      </c>
      <c r="CA1444" s="356">
        <v>1246</v>
      </c>
    </row>
    <row r="1445" spans="75:79" x14ac:dyDescent="0.25">
      <c r="BW1445" s="32" t="s">
        <v>114</v>
      </c>
      <c r="BX1445" s="32" t="s">
        <v>391</v>
      </c>
      <c r="BY1445" s="32" t="s">
        <v>682</v>
      </c>
      <c r="BZ1445" s="32">
        <v>1210401</v>
      </c>
      <c r="CA1445" s="356">
        <v>1246</v>
      </c>
    </row>
    <row r="1446" spans="75:79" x14ac:dyDescent="0.25">
      <c r="BW1446" s="32" t="s">
        <v>114</v>
      </c>
      <c r="BX1446" s="32" t="s">
        <v>391</v>
      </c>
      <c r="BY1446" s="32" t="s">
        <v>678</v>
      </c>
      <c r="BZ1446" s="32">
        <v>1210401</v>
      </c>
      <c r="CA1446" s="356">
        <v>1297</v>
      </c>
    </row>
    <row r="1447" spans="75:79" x14ac:dyDescent="0.25">
      <c r="BW1447" s="32" t="s">
        <v>114</v>
      </c>
      <c r="BX1447" s="32" t="s">
        <v>391</v>
      </c>
      <c r="BY1447" s="32" t="s">
        <v>713</v>
      </c>
      <c r="BZ1447" s="32">
        <v>1210401</v>
      </c>
      <c r="CA1447" s="356">
        <v>1475</v>
      </c>
    </row>
    <row r="1448" spans="75:79" x14ac:dyDescent="0.25">
      <c r="BW1448" s="32" t="s">
        <v>114</v>
      </c>
      <c r="BX1448" s="32" t="s">
        <v>391</v>
      </c>
      <c r="BY1448" s="32" t="s">
        <v>715</v>
      </c>
      <c r="BZ1448" s="32">
        <v>1210401</v>
      </c>
      <c r="CA1448" s="356">
        <v>1486</v>
      </c>
    </row>
    <row r="1449" spans="75:79" x14ac:dyDescent="0.25">
      <c r="BW1449" s="32" t="s">
        <v>114</v>
      </c>
      <c r="BX1449" s="32" t="s">
        <v>391</v>
      </c>
      <c r="BY1449" s="32" t="s">
        <v>718</v>
      </c>
      <c r="BZ1449" s="32">
        <v>1210401</v>
      </c>
      <c r="CA1449" s="356">
        <v>1612</v>
      </c>
    </row>
    <row r="1450" spans="75:79" x14ac:dyDescent="0.25">
      <c r="BW1450" s="32" t="s">
        <v>114</v>
      </c>
      <c r="BX1450" s="32" t="s">
        <v>391</v>
      </c>
      <c r="BY1450" s="32" t="s">
        <v>714</v>
      </c>
      <c r="BZ1450" s="32">
        <v>1210401</v>
      </c>
      <c r="CA1450" s="356">
        <v>1475</v>
      </c>
    </row>
    <row r="1451" spans="75:79" x14ac:dyDescent="0.25">
      <c r="BW1451" s="32" t="s">
        <v>114</v>
      </c>
      <c r="BX1451" s="32" t="s">
        <v>391</v>
      </c>
      <c r="BY1451" s="32" t="s">
        <v>716</v>
      </c>
      <c r="BZ1451" s="32">
        <v>1210401</v>
      </c>
      <c r="CA1451" s="356">
        <v>1486</v>
      </c>
    </row>
    <row r="1452" spans="75:79" x14ac:dyDescent="0.25">
      <c r="BW1452" s="32" t="s">
        <v>114</v>
      </c>
      <c r="BX1452" s="32" t="s">
        <v>391</v>
      </c>
      <c r="BY1452" s="32" t="s">
        <v>719</v>
      </c>
      <c r="BZ1452" s="32">
        <v>1210401</v>
      </c>
      <c r="CA1452" s="356">
        <v>1612</v>
      </c>
    </row>
    <row r="1453" spans="75:79" x14ac:dyDescent="0.25">
      <c r="BW1453" s="32" t="s">
        <v>114</v>
      </c>
      <c r="BX1453" s="32" t="s">
        <v>391</v>
      </c>
      <c r="BY1453" s="32" t="s">
        <v>717</v>
      </c>
      <c r="BZ1453" s="32">
        <v>1210401</v>
      </c>
      <c r="CA1453" s="356">
        <v>1486</v>
      </c>
    </row>
    <row r="1454" spans="75:79" x14ac:dyDescent="0.25">
      <c r="BW1454" s="32" t="s">
        <v>114</v>
      </c>
      <c r="BX1454" s="32" t="s">
        <v>391</v>
      </c>
      <c r="BY1454" s="32" t="s">
        <v>720</v>
      </c>
      <c r="BZ1454" s="32">
        <v>1210401</v>
      </c>
      <c r="CA1454" s="356">
        <v>1612</v>
      </c>
    </row>
    <row r="1455" spans="75:79" x14ac:dyDescent="0.25">
      <c r="BW1455" s="32" t="s">
        <v>114</v>
      </c>
      <c r="BX1455" s="32" t="s">
        <v>391</v>
      </c>
      <c r="BY1455" s="32" t="s">
        <v>723</v>
      </c>
      <c r="BZ1455" s="32">
        <v>1210401</v>
      </c>
      <c r="CA1455" s="356">
        <v>1675</v>
      </c>
    </row>
    <row r="1456" spans="75:79" x14ac:dyDescent="0.25">
      <c r="BW1456" s="32" t="s">
        <v>114</v>
      </c>
      <c r="BX1456" s="32" t="s">
        <v>391</v>
      </c>
      <c r="BY1456" s="32" t="s">
        <v>721</v>
      </c>
      <c r="BZ1456" s="32">
        <v>1210401</v>
      </c>
      <c r="CA1456" s="356">
        <v>1612</v>
      </c>
    </row>
    <row r="1457" spans="75:79" x14ac:dyDescent="0.25">
      <c r="BW1457" s="32" t="s">
        <v>114</v>
      </c>
      <c r="BX1457" s="32" t="s">
        <v>391</v>
      </c>
      <c r="BY1457" s="32" t="s">
        <v>724</v>
      </c>
      <c r="BZ1457" s="32">
        <v>1210401</v>
      </c>
      <c r="CA1457" s="356">
        <v>1675</v>
      </c>
    </row>
    <row r="1458" spans="75:79" x14ac:dyDescent="0.25">
      <c r="BW1458" s="32" t="s">
        <v>114</v>
      </c>
      <c r="BX1458" s="32" t="s">
        <v>391</v>
      </c>
      <c r="BY1458" s="32" t="s">
        <v>726</v>
      </c>
      <c r="BZ1458" s="32">
        <v>1210401</v>
      </c>
      <c r="CA1458" s="356">
        <v>1754</v>
      </c>
    </row>
    <row r="1459" spans="75:79" x14ac:dyDescent="0.25">
      <c r="BW1459" s="32" t="s">
        <v>114</v>
      </c>
      <c r="BX1459" s="32" t="s">
        <v>391</v>
      </c>
      <c r="BY1459" s="32" t="s">
        <v>722</v>
      </c>
      <c r="BZ1459" s="32">
        <v>1210401</v>
      </c>
      <c r="CA1459" s="356">
        <v>1612</v>
      </c>
    </row>
    <row r="1460" spans="75:79" x14ac:dyDescent="0.25">
      <c r="BW1460" s="32" t="s">
        <v>114</v>
      </c>
      <c r="BX1460" s="32" t="s">
        <v>391</v>
      </c>
      <c r="BY1460" s="32" t="s">
        <v>725</v>
      </c>
      <c r="BZ1460" s="32">
        <v>1210401</v>
      </c>
      <c r="CA1460" s="356">
        <v>1675</v>
      </c>
    </row>
    <row r="1461" spans="75:79" x14ac:dyDescent="0.25">
      <c r="BW1461" s="32" t="s">
        <v>114</v>
      </c>
      <c r="BX1461" s="32" t="s">
        <v>391</v>
      </c>
      <c r="BY1461" s="32" t="s">
        <v>727</v>
      </c>
      <c r="BZ1461" s="32">
        <v>1210401</v>
      </c>
      <c r="CA1461" s="356">
        <v>1754</v>
      </c>
    </row>
    <row r="1462" spans="75:79" x14ac:dyDescent="0.25">
      <c r="BW1462" s="32" t="s">
        <v>114</v>
      </c>
      <c r="BX1462" s="32" t="s">
        <v>391</v>
      </c>
      <c r="BY1462" s="32" t="s">
        <v>728</v>
      </c>
      <c r="BZ1462" s="32">
        <v>1210401</v>
      </c>
      <c r="CA1462" s="356">
        <v>1754</v>
      </c>
    </row>
    <row r="1463" spans="75:79" x14ac:dyDescent="0.25">
      <c r="BW1463" s="32" t="s">
        <v>114</v>
      </c>
      <c r="BX1463" s="32" t="s">
        <v>391</v>
      </c>
      <c r="BY1463" s="32" t="s">
        <v>729</v>
      </c>
      <c r="BZ1463" s="32">
        <v>1210401</v>
      </c>
      <c r="CA1463" s="356">
        <v>1754</v>
      </c>
    </row>
    <row r="1464" spans="75:79" x14ac:dyDescent="0.25">
      <c r="BW1464" s="32" t="s">
        <v>114</v>
      </c>
      <c r="BX1464" s="32" t="s">
        <v>391</v>
      </c>
      <c r="BY1464" s="32" t="s">
        <v>668</v>
      </c>
      <c r="BZ1464" s="32">
        <v>1210401</v>
      </c>
      <c r="CA1464" s="356">
        <v>1591</v>
      </c>
    </row>
    <row r="1465" spans="75:79" x14ac:dyDescent="0.25">
      <c r="BW1465" s="32" t="s">
        <v>114</v>
      </c>
      <c r="BX1465" s="32" t="s">
        <v>391</v>
      </c>
      <c r="BY1465" s="32" t="s">
        <v>674</v>
      </c>
      <c r="BZ1465" s="32">
        <v>1210401</v>
      </c>
      <c r="CA1465" s="356">
        <v>1591</v>
      </c>
    </row>
    <row r="1466" spans="75:79" x14ac:dyDescent="0.25">
      <c r="BW1466" s="32" t="s">
        <v>114</v>
      </c>
      <c r="BX1466" s="32" t="s">
        <v>391</v>
      </c>
      <c r="BY1466" s="32" t="s">
        <v>669</v>
      </c>
      <c r="BZ1466" s="32">
        <v>1210401</v>
      </c>
      <c r="CA1466" s="356">
        <v>1591</v>
      </c>
    </row>
    <row r="1467" spans="75:79" x14ac:dyDescent="0.25">
      <c r="BW1467" s="32" t="s">
        <v>114</v>
      </c>
      <c r="BX1467" s="32" t="s">
        <v>391</v>
      </c>
      <c r="BY1467" s="32" t="s">
        <v>671</v>
      </c>
      <c r="BZ1467" s="32">
        <v>1210401</v>
      </c>
      <c r="CA1467" s="356">
        <v>1475</v>
      </c>
    </row>
    <row r="1468" spans="75:79" x14ac:dyDescent="0.25">
      <c r="BW1468" s="32" t="s">
        <v>114</v>
      </c>
      <c r="BX1468" s="32" t="s">
        <v>391</v>
      </c>
      <c r="BY1468" s="32" t="s">
        <v>670</v>
      </c>
      <c r="BZ1468" s="32">
        <v>1210401</v>
      </c>
      <c r="CA1468" s="356">
        <v>1591</v>
      </c>
    </row>
    <row r="1469" spans="75:79" x14ac:dyDescent="0.25">
      <c r="BW1469" s="32" t="s">
        <v>114</v>
      </c>
      <c r="BX1469" s="32" t="s">
        <v>391</v>
      </c>
      <c r="BY1469" s="32" t="s">
        <v>672</v>
      </c>
      <c r="BZ1469" s="32">
        <v>1210401</v>
      </c>
      <c r="CA1469" s="356">
        <v>1475</v>
      </c>
    </row>
    <row r="1470" spans="75:79" x14ac:dyDescent="0.25">
      <c r="BW1470" s="32" t="s">
        <v>114</v>
      </c>
      <c r="BX1470" s="32" t="s">
        <v>391</v>
      </c>
      <c r="BY1470" s="32" t="s">
        <v>673</v>
      </c>
      <c r="BZ1470" s="32">
        <v>1210401</v>
      </c>
      <c r="CA1470" s="356">
        <v>1486</v>
      </c>
    </row>
    <row r="1471" spans="75:79" x14ac:dyDescent="0.25">
      <c r="BW1471" s="32" t="s">
        <v>114</v>
      </c>
      <c r="BX1471" s="32" t="s">
        <v>391</v>
      </c>
      <c r="BY1471" s="32" t="s">
        <v>737</v>
      </c>
      <c r="BZ1471" s="32">
        <v>1210401</v>
      </c>
      <c r="CA1471" s="356">
        <v>1612</v>
      </c>
    </row>
  </sheetData>
  <sheetProtection algorithmName="SHA-512" hashValue="ZcWnJrhy7weySqowFk+Ttoyoa5wI8MSRolSZrpoonaUNHPy0F1bNwExDqFTYvY6SE0Tocj/ZB+4NV50Rn6hPGw==" saltValue="oij+ZJFkSRS5TBr3UnCJwg==" spinCount="100000" sheet="1" objects="1" scenarios="1"/>
  <autoFilter ref="BV85:CA1124" xr:uid="{00000000-0009-0000-0000-000000000000}"/>
  <sortState xmlns:xlrd2="http://schemas.microsoft.com/office/spreadsheetml/2017/richdata2" ref="CB3:CE18">
    <sortCondition descending="1" ref="CE3:CE18"/>
  </sortState>
  <mergeCells count="2">
    <mergeCell ref="D2:E2"/>
    <mergeCell ref="CC1:CD1"/>
  </mergeCells>
  <conditionalFormatting sqref="BD69 CO40:CO47 CO49 CO4:CO9 BD56:BD65 CO63:CO67 CO71:CO73 BV55 S73:U80 CF70:CF74 CF76:CF79 CF81 CP41:CP67 CP70:CP74">
    <cfRule type="expression" dxfId="228" priority="405">
      <formula>$CN$16=1</formula>
    </cfRule>
  </conditionalFormatting>
  <conditionalFormatting sqref="BD3:BD9">
    <cfRule type="expression" dxfId="227" priority="404">
      <formula>$CN$16=1</formula>
    </cfRule>
  </conditionalFormatting>
  <conditionalFormatting sqref="BD26:BD30">
    <cfRule type="expression" dxfId="226" priority="394">
      <formula>$CN$16=1</formula>
    </cfRule>
  </conditionalFormatting>
  <conditionalFormatting sqref="BD39:BD46">
    <cfRule type="expression" dxfId="225" priority="390">
      <formula>$CN$16=1</formula>
    </cfRule>
  </conditionalFormatting>
  <conditionalFormatting sqref="BD70:BD73 FN4:FN7 BU77:BV77 BD76 CO58 DF52:DF53 BS76 CO60:CO62 BB75:BB78 BA76:BA80 BD78 BD80 BS78 BS80 BU79:BV81 BD95 BD97">
    <cfRule type="expression" dxfId="224" priority="386">
      <formula>$CM$16=1</formula>
    </cfRule>
  </conditionalFormatting>
  <conditionalFormatting sqref="CO51">
    <cfRule type="expression" dxfId="223" priority="382">
      <formula>$CN$16=1</formula>
    </cfRule>
  </conditionalFormatting>
  <conditionalFormatting sqref="CO3:CP3">
    <cfRule type="expression" dxfId="222" priority="381">
      <formula>$CN$16=1</formula>
    </cfRule>
  </conditionalFormatting>
  <conditionalFormatting sqref="CO24:CO28">
    <cfRule type="expression" dxfId="221" priority="380">
      <formula>$CN$16=1</formula>
    </cfRule>
  </conditionalFormatting>
  <conditionalFormatting sqref="CO52:CO55">
    <cfRule type="expression" dxfId="220" priority="378">
      <formula>$CM$16=1</formula>
    </cfRule>
  </conditionalFormatting>
  <conditionalFormatting sqref="DH19:DH23 DH33 FY14 FV14 FV6:FV12 BH77 BH79 BL77 BL79 BP77 BP79">
    <cfRule type="expression" dxfId="219" priority="374">
      <formula>#REF!=1</formula>
    </cfRule>
  </conditionalFormatting>
  <conditionalFormatting sqref="DH29">
    <cfRule type="expression" dxfId="218" priority="372">
      <formula>#REF!=1</formula>
    </cfRule>
  </conditionalFormatting>
  <conditionalFormatting sqref="DH27 DI44:DI45 DG44:DG45 DI47:DI49 DI51 DG47:DG49 DG51">
    <cfRule type="expression" dxfId="217" priority="371">
      <formula>#REF!=1</formula>
    </cfRule>
  </conditionalFormatting>
  <conditionalFormatting sqref="DH30">
    <cfRule type="expression" dxfId="216" priority="370">
      <formula>#REF!=1</formula>
    </cfRule>
  </conditionalFormatting>
  <conditionalFormatting sqref="DH35:DH36">
    <cfRule type="expression" dxfId="215" priority="367">
      <formula>#REF!=1</formula>
    </cfRule>
  </conditionalFormatting>
  <conditionalFormatting sqref="DH35 DH65 DG44:DI45 DG47:DI49 DG51:DI51">
    <cfRule type="expression" dxfId="214" priority="413">
      <formula>#REF!&gt;0</formula>
    </cfRule>
  </conditionalFormatting>
  <conditionalFormatting sqref="DH18 DH20">
    <cfRule type="expression" dxfId="213" priority="420">
      <formula>#REF!&gt;0</formula>
    </cfRule>
  </conditionalFormatting>
  <conditionalFormatting sqref="DH33:DH34 DH36 FV6:FX6">
    <cfRule type="expression" dxfId="212" priority="422">
      <formula>#REF!&gt;0</formula>
    </cfRule>
  </conditionalFormatting>
  <conditionalFormatting sqref="EI3:EI72">
    <cfRule type="duplicateValues" dxfId="211" priority="366"/>
  </conditionalFormatting>
  <conditionalFormatting sqref="FX13">
    <cfRule type="expression" dxfId="210" priority="361">
      <formula>#REF!=1</formula>
    </cfRule>
  </conditionalFormatting>
  <conditionalFormatting sqref="FX15:FX16">
    <cfRule type="expression" dxfId="209" priority="360">
      <formula>#REF!=1</formula>
    </cfRule>
  </conditionalFormatting>
  <conditionalFormatting sqref="FX15">
    <cfRule type="expression" dxfId="208" priority="362">
      <formula>#REF!&gt;0</formula>
    </cfRule>
  </conditionalFormatting>
  <conditionalFormatting sqref="FX13 FX16">
    <cfRule type="expression" dxfId="207" priority="363">
      <formula>#REF!&gt;0</formula>
    </cfRule>
  </conditionalFormatting>
  <conditionalFormatting sqref="FO6">
    <cfRule type="expression" dxfId="206" priority="355">
      <formula>$CM$16=1</formula>
    </cfRule>
  </conditionalFormatting>
  <conditionalFormatting sqref="FO7">
    <cfRule type="expression" dxfId="205" priority="353">
      <formula>$CM$16=1</formula>
    </cfRule>
  </conditionalFormatting>
  <conditionalFormatting sqref="FO4:FU4">
    <cfRule type="expression" dxfId="204" priority="352">
      <formula>$CM$16=1</formula>
    </cfRule>
  </conditionalFormatting>
  <conditionalFormatting sqref="FO5">
    <cfRule type="expression" dxfId="203" priority="351">
      <formula>$CM$16=1</formula>
    </cfRule>
  </conditionalFormatting>
  <conditionalFormatting sqref="FW14">
    <cfRule type="expression" dxfId="202" priority="325">
      <formula>#REF!=1</formula>
    </cfRule>
  </conditionalFormatting>
  <conditionalFormatting sqref="FY14">
    <cfRule type="expression" dxfId="201" priority="326">
      <formula>#REF!&gt;0</formula>
    </cfRule>
  </conditionalFormatting>
  <conditionalFormatting sqref="FV14:FX14">
    <cfRule type="expression" dxfId="200" priority="327">
      <formula>#REF!&gt;0</formula>
    </cfRule>
  </conditionalFormatting>
  <conditionalFormatting sqref="FW12">
    <cfRule type="expression" dxfId="199" priority="320">
      <formula>#REF!=1</formula>
    </cfRule>
  </conditionalFormatting>
  <conditionalFormatting sqref="FW8:FW11">
    <cfRule type="expression" dxfId="198" priority="316">
      <formula>#REF!=1</formula>
    </cfRule>
  </conditionalFormatting>
  <conditionalFormatting sqref="FW7">
    <cfRule type="expression" dxfId="197" priority="312">
      <formula>#REF!=1</formula>
    </cfRule>
  </conditionalFormatting>
  <conditionalFormatting sqref="FY12">
    <cfRule type="expression" dxfId="196" priority="323">
      <formula>#REF!=1</formula>
    </cfRule>
  </conditionalFormatting>
  <conditionalFormatting sqref="FY12">
    <cfRule type="expression" dxfId="195" priority="321">
      <formula>#REF!&gt;0</formula>
    </cfRule>
  </conditionalFormatting>
  <conditionalFormatting sqref="FV12:FX12">
    <cfRule type="expression" dxfId="194" priority="322">
      <formula>#REF!&gt;0</formula>
    </cfRule>
  </conditionalFormatting>
  <conditionalFormatting sqref="FY8:FY11">
    <cfRule type="expression" dxfId="193" priority="319">
      <formula>#REF!=1</formula>
    </cfRule>
  </conditionalFormatting>
  <conditionalFormatting sqref="FY8:FY11">
    <cfRule type="expression" dxfId="192" priority="317">
      <formula>#REF!&gt;0</formula>
    </cfRule>
  </conditionalFormatting>
  <conditionalFormatting sqref="FV8:FX11">
    <cfRule type="expression" dxfId="191" priority="318">
      <formula>#REF!&gt;0</formula>
    </cfRule>
  </conditionalFormatting>
  <conditionalFormatting sqref="FY6">
    <cfRule type="expression" dxfId="190" priority="315">
      <formula>#REF!=1</formula>
    </cfRule>
  </conditionalFormatting>
  <conditionalFormatting sqref="FY6">
    <cfRule type="expression" dxfId="189" priority="313">
      <formula>#REF!&gt;0</formula>
    </cfRule>
  </conditionalFormatting>
  <conditionalFormatting sqref="FV7:FX7">
    <cfRule type="expression" dxfId="188" priority="314">
      <formula>#REF!&gt;0</formula>
    </cfRule>
  </conditionalFormatting>
  <conditionalFormatting sqref="FY4">
    <cfRule type="expression" dxfId="187" priority="311">
      <formula>#REF!=1</formula>
    </cfRule>
  </conditionalFormatting>
  <conditionalFormatting sqref="FW6">
    <cfRule type="expression" dxfId="186" priority="308">
      <formula>#REF!=1</formula>
    </cfRule>
  </conditionalFormatting>
  <conditionalFormatting sqref="FY4">
    <cfRule type="expression" dxfId="185" priority="309">
      <formula>#REF!&gt;0</formula>
    </cfRule>
  </conditionalFormatting>
  <conditionalFormatting sqref="FV4">
    <cfRule type="expression" dxfId="184" priority="307">
      <formula>#REF!=1</formula>
    </cfRule>
  </conditionalFormatting>
  <conditionalFormatting sqref="FV4">
    <cfRule type="expression" dxfId="183" priority="306">
      <formula>#REF!&gt;0</formula>
    </cfRule>
  </conditionalFormatting>
  <conditionalFormatting sqref="FV5">
    <cfRule type="expression" dxfId="182" priority="305">
      <formula>#REF!=1</formula>
    </cfRule>
  </conditionalFormatting>
  <conditionalFormatting sqref="FV5">
    <cfRule type="expression" dxfId="181" priority="304">
      <formula>#REF!&gt;0</formula>
    </cfRule>
  </conditionalFormatting>
  <conditionalFormatting sqref="FP5:FU5">
    <cfRule type="expression" dxfId="180" priority="303">
      <formula>$CM$16=1</formula>
    </cfRule>
  </conditionalFormatting>
  <conditionalFormatting sqref="FP6:FU6">
    <cfRule type="expression" dxfId="179" priority="302">
      <formula>$CM$16=1</formula>
    </cfRule>
  </conditionalFormatting>
  <conditionalFormatting sqref="FP7:FQ7 FS7:FU7">
    <cfRule type="expression" dxfId="178" priority="301">
      <formula>$CM$16=1</formula>
    </cfRule>
  </conditionalFormatting>
  <conditionalFormatting sqref="DG52">
    <cfRule type="expression" dxfId="177" priority="292">
      <formula>#REF!=1</formula>
    </cfRule>
  </conditionalFormatting>
  <conditionalFormatting sqref="DG52">
    <cfRule type="expression" dxfId="176" priority="293">
      <formula>#REF!&gt;0</formula>
    </cfRule>
  </conditionalFormatting>
  <conditionalFormatting sqref="DG53">
    <cfRule type="expression" dxfId="175" priority="290">
      <formula>#REF!=1</formula>
    </cfRule>
  </conditionalFormatting>
  <conditionalFormatting sqref="DG53">
    <cfRule type="expression" dxfId="174" priority="291">
      <formula>#REF!&gt;0</formula>
    </cfRule>
  </conditionalFormatting>
  <conditionalFormatting sqref="DI65">
    <cfRule type="expression" dxfId="173" priority="289">
      <formula>#REF!&gt;0</formula>
    </cfRule>
  </conditionalFormatting>
  <conditionalFormatting sqref="DG43">
    <cfRule type="expression" dxfId="172" priority="284">
      <formula>#REF!=1</formula>
    </cfRule>
  </conditionalFormatting>
  <conditionalFormatting sqref="DG43">
    <cfRule type="expression" dxfId="171" priority="285">
      <formula>#REF!&gt;0</formula>
    </cfRule>
  </conditionalFormatting>
  <conditionalFormatting sqref="DI43">
    <cfRule type="expression" dxfId="170" priority="282">
      <formula>#REF!=1</formula>
    </cfRule>
  </conditionalFormatting>
  <conditionalFormatting sqref="DI43">
    <cfRule type="expression" dxfId="169" priority="283">
      <formula>#REF!&gt;0</formula>
    </cfRule>
  </conditionalFormatting>
  <conditionalFormatting sqref="DD75:DD79">
    <cfRule type="expression" dxfId="168" priority="276">
      <formula>#REF!=1</formula>
    </cfRule>
  </conditionalFormatting>
  <conditionalFormatting sqref="DD74 DD76">
    <cfRule type="expression" dxfId="167" priority="277">
      <formula>#REF!&gt;0</formula>
    </cfRule>
  </conditionalFormatting>
  <conditionalFormatting sqref="DH70">
    <cfRule type="expression" dxfId="166" priority="273">
      <formula>#REF!=1</formula>
    </cfRule>
  </conditionalFormatting>
  <conditionalFormatting sqref="DH70">
    <cfRule type="expression" dxfId="165" priority="274">
      <formula>#REF!&gt;0</formula>
    </cfRule>
  </conditionalFormatting>
  <conditionalFormatting sqref="DH68">
    <cfRule type="expression" dxfId="164" priority="270">
      <formula>#REF!=1</formula>
    </cfRule>
  </conditionalFormatting>
  <conditionalFormatting sqref="BA3:BB9">
    <cfRule type="expression" dxfId="163" priority="262">
      <formula>$CN$16=1</formula>
    </cfRule>
  </conditionalFormatting>
  <conditionalFormatting sqref="BA26:BB30">
    <cfRule type="expression" dxfId="162" priority="261">
      <formula>$CN$16=1</formula>
    </cfRule>
  </conditionalFormatting>
  <conditionalFormatting sqref="BA56:BB63">
    <cfRule type="expression" dxfId="161" priority="260">
      <formula>$CN$16=1</formula>
    </cfRule>
  </conditionalFormatting>
  <conditionalFormatting sqref="BA39:BB46">
    <cfRule type="expression" dxfId="160" priority="259">
      <formula>$CN$16=1</formula>
    </cfRule>
  </conditionalFormatting>
  <conditionalFormatting sqref="BA70:BB73">
    <cfRule type="expression" dxfId="159" priority="257">
      <formula>$CM$16=1</formula>
    </cfRule>
  </conditionalFormatting>
  <conditionalFormatting sqref="BD66">
    <cfRule type="expression" dxfId="158" priority="233">
      <formula>$CN$16=1</formula>
    </cfRule>
  </conditionalFormatting>
  <conditionalFormatting sqref="BH39">
    <cfRule type="expression" dxfId="157" priority="232">
      <formula>$CN$16=1</formula>
    </cfRule>
  </conditionalFormatting>
  <conditionalFormatting sqref="BH40">
    <cfRule type="expression" dxfId="156" priority="231">
      <formula>$CN$16=1</formula>
    </cfRule>
  </conditionalFormatting>
  <conditionalFormatting sqref="BH41">
    <cfRule type="expression" dxfId="155" priority="230">
      <formula>$CN$16=1</formula>
    </cfRule>
  </conditionalFormatting>
  <conditionalFormatting sqref="BH42">
    <cfRule type="expression" dxfId="154" priority="229">
      <formula>$CN$16=1</formula>
    </cfRule>
  </conditionalFormatting>
  <conditionalFormatting sqref="BL39">
    <cfRule type="expression" dxfId="153" priority="223">
      <formula>$CN$16=1</formula>
    </cfRule>
  </conditionalFormatting>
  <conditionalFormatting sqref="BL40">
    <cfRule type="expression" dxfId="152" priority="222">
      <formula>$CN$16=1</formula>
    </cfRule>
  </conditionalFormatting>
  <conditionalFormatting sqref="BL41">
    <cfRule type="expression" dxfId="151" priority="221">
      <formula>$CN$16=1</formula>
    </cfRule>
  </conditionalFormatting>
  <conditionalFormatting sqref="BL42">
    <cfRule type="expression" dxfId="150" priority="220">
      <formula>$CN$16=1</formula>
    </cfRule>
  </conditionalFormatting>
  <conditionalFormatting sqref="BP39">
    <cfRule type="expression" dxfId="149" priority="218">
      <formula>$CN$16=1</formula>
    </cfRule>
  </conditionalFormatting>
  <conditionalFormatting sqref="BP40">
    <cfRule type="expression" dxfId="148" priority="217">
      <formula>$CN$16=1</formula>
    </cfRule>
  </conditionalFormatting>
  <conditionalFormatting sqref="BP41">
    <cfRule type="expression" dxfId="147" priority="216">
      <formula>$CN$16=1</formula>
    </cfRule>
  </conditionalFormatting>
  <conditionalFormatting sqref="BP42">
    <cfRule type="expression" dxfId="146" priority="215">
      <formula>$CN$16=1</formula>
    </cfRule>
  </conditionalFormatting>
  <conditionalFormatting sqref="BU3:BV9">
    <cfRule type="expression" dxfId="145" priority="207">
      <formula>$CN$16=1</formula>
    </cfRule>
  </conditionalFormatting>
  <conditionalFormatting sqref="BU26:BU30">
    <cfRule type="expression" dxfId="144" priority="206">
      <formula>$CN$16=1</formula>
    </cfRule>
  </conditionalFormatting>
  <conditionalFormatting sqref="BU56:BU63">
    <cfRule type="expression" dxfId="143" priority="205">
      <formula>$CN$16=1</formula>
    </cfRule>
  </conditionalFormatting>
  <conditionalFormatting sqref="BU39:BV46">
    <cfRule type="expression" dxfId="142" priority="204">
      <formula>$CN$16=1</formula>
    </cfRule>
  </conditionalFormatting>
  <conditionalFormatting sqref="BU70:BV73">
    <cfRule type="expression" dxfId="141" priority="202">
      <formula>$CM$16=1</formula>
    </cfRule>
  </conditionalFormatting>
  <conditionalFormatting sqref="BV11">
    <cfRule type="expression" dxfId="140" priority="201">
      <formula>$CN$16=1</formula>
    </cfRule>
  </conditionalFormatting>
  <conditionalFormatting sqref="BV12:BV23">
    <cfRule type="expression" dxfId="139" priority="200">
      <formula>$CN$16=1</formula>
    </cfRule>
  </conditionalFormatting>
  <conditionalFormatting sqref="BV26">
    <cfRule type="expression" dxfId="138" priority="199">
      <formula>$CN$16=1</formula>
    </cfRule>
  </conditionalFormatting>
  <conditionalFormatting sqref="BV27:BV35">
    <cfRule type="expression" dxfId="137" priority="198">
      <formula>$CN$16=1</formula>
    </cfRule>
  </conditionalFormatting>
  <conditionalFormatting sqref="BV52">
    <cfRule type="expression" dxfId="136" priority="197">
      <formula>$CN$16=1</formula>
    </cfRule>
  </conditionalFormatting>
  <conditionalFormatting sqref="BV53">
    <cfRule type="expression" dxfId="135" priority="196">
      <formula>$CN$16=1</formula>
    </cfRule>
  </conditionalFormatting>
  <conditionalFormatting sqref="BV54">
    <cfRule type="expression" dxfId="134" priority="195">
      <formula>$CN$16=1</formula>
    </cfRule>
  </conditionalFormatting>
  <conditionalFormatting sqref="BV56">
    <cfRule type="expression" dxfId="133" priority="194">
      <formula>$CN$16=1</formula>
    </cfRule>
  </conditionalFormatting>
  <conditionalFormatting sqref="BV57">
    <cfRule type="expression" dxfId="132" priority="193">
      <formula>$CN$16=1</formula>
    </cfRule>
  </conditionalFormatting>
  <conditionalFormatting sqref="BV58">
    <cfRule type="expression" dxfId="131" priority="192">
      <formula>$CN$16=1</formula>
    </cfRule>
  </conditionalFormatting>
  <conditionalFormatting sqref="BV59">
    <cfRule type="expression" dxfId="130" priority="191">
      <formula>$CN$16=1</formula>
    </cfRule>
  </conditionalFormatting>
  <conditionalFormatting sqref="BV60">
    <cfRule type="expression" dxfId="129" priority="190">
      <formula>$CN$16=1</formula>
    </cfRule>
  </conditionalFormatting>
  <conditionalFormatting sqref="BV61">
    <cfRule type="expression" dxfId="128" priority="189">
      <formula>$CN$16=1</formula>
    </cfRule>
  </conditionalFormatting>
  <conditionalFormatting sqref="BV62">
    <cfRule type="expression" dxfId="127" priority="188">
      <formula>$CN$16=1</formula>
    </cfRule>
  </conditionalFormatting>
  <conditionalFormatting sqref="BV63">
    <cfRule type="expression" dxfId="126" priority="187">
      <formula>$CN$16=1</formula>
    </cfRule>
  </conditionalFormatting>
  <conditionalFormatting sqref="BV64">
    <cfRule type="expression" dxfId="125" priority="186">
      <formula>$CN$16=1</formula>
    </cfRule>
  </conditionalFormatting>
  <conditionalFormatting sqref="BV65">
    <cfRule type="expression" dxfId="124" priority="185">
      <formula>$CN$16=1</formula>
    </cfRule>
  </conditionalFormatting>
  <conditionalFormatting sqref="BV66">
    <cfRule type="expression" dxfId="123" priority="184">
      <formula>$CN$16=1</formula>
    </cfRule>
  </conditionalFormatting>
  <conditionalFormatting sqref="BV67">
    <cfRule type="expression" dxfId="122" priority="183">
      <formula>$CN$16=1</formula>
    </cfRule>
  </conditionalFormatting>
  <conditionalFormatting sqref="BV68">
    <cfRule type="expression" dxfId="121" priority="182">
      <formula>$CN$16=1</formula>
    </cfRule>
  </conditionalFormatting>
  <conditionalFormatting sqref="BV49">
    <cfRule type="expression" dxfId="120" priority="181">
      <formula>$CN$16=1</formula>
    </cfRule>
  </conditionalFormatting>
  <conditionalFormatting sqref="BV50">
    <cfRule type="expression" dxfId="119" priority="180">
      <formula>$CN$16=1</formula>
    </cfRule>
  </conditionalFormatting>
  <conditionalFormatting sqref="BD77">
    <cfRule type="expression" dxfId="118" priority="178">
      <formula>$CM$16=1</formula>
    </cfRule>
  </conditionalFormatting>
  <conditionalFormatting sqref="CO59">
    <cfRule type="expression" dxfId="117" priority="177">
      <formula>$CM$16=1</formula>
    </cfRule>
  </conditionalFormatting>
  <conditionalFormatting sqref="BH72">
    <cfRule type="expression" dxfId="116" priority="173">
      <formula>$CM$16=1</formula>
    </cfRule>
  </conditionalFormatting>
  <conditionalFormatting sqref="BH76">
    <cfRule type="expression" dxfId="115" priority="172">
      <formula>$CM$16=1</formula>
    </cfRule>
  </conditionalFormatting>
  <conditionalFormatting sqref="BL72">
    <cfRule type="expression" dxfId="114" priority="171">
      <formula>$CM$16=1</formula>
    </cfRule>
  </conditionalFormatting>
  <conditionalFormatting sqref="BL76">
    <cfRule type="expression" dxfId="113" priority="170">
      <formula>$CM$16=1</formula>
    </cfRule>
  </conditionalFormatting>
  <conditionalFormatting sqref="BP72">
    <cfRule type="expression" dxfId="112" priority="169">
      <formula>$CM$16=1</formula>
    </cfRule>
  </conditionalFormatting>
  <conditionalFormatting sqref="BP76">
    <cfRule type="expression" dxfId="111" priority="168">
      <formula>$CM$16=1</formula>
    </cfRule>
  </conditionalFormatting>
  <conditionalFormatting sqref="BS56:BS65">
    <cfRule type="expression" dxfId="110" priority="165">
      <formula>$CN$16=1</formula>
    </cfRule>
  </conditionalFormatting>
  <conditionalFormatting sqref="BS41:BS46">
    <cfRule type="expression" dxfId="109" priority="164">
      <formula>$CN$16=1</formula>
    </cfRule>
  </conditionalFormatting>
  <conditionalFormatting sqref="CP89">
    <cfRule type="expression" dxfId="108" priority="157">
      <formula>$CN$16=1</formula>
    </cfRule>
  </conditionalFormatting>
  <conditionalFormatting sqref="CP77">
    <cfRule type="expression" dxfId="107" priority="153">
      <formula>$CN$16=1</formula>
    </cfRule>
  </conditionalFormatting>
  <conditionalFormatting sqref="CP78">
    <cfRule type="expression" dxfId="106" priority="152">
      <formula>$CN$16=1</formula>
    </cfRule>
  </conditionalFormatting>
  <conditionalFormatting sqref="CP82">
    <cfRule type="expression" dxfId="105" priority="148">
      <formula>$CN$16=1</formula>
    </cfRule>
  </conditionalFormatting>
  <conditionalFormatting sqref="BH70:BH71 BL70:BL71 BP70:BP71 BH56:BH67 BL56:BL67 BP56:BP67 CO48 CO50 BH44:BH46 BL44:BL46 BP44:BP46 BA64:BB66 BH75 BL75 BP75 BU64:BU67">
    <cfRule type="expression" dxfId="104" priority="424">
      <formula>#REF!=1</formula>
    </cfRule>
  </conditionalFormatting>
  <conditionalFormatting sqref="BH26:BH30 BL26:BL30 BP26:BP30 BH3:BH10 BL3:BL10 BP3:BP10 BS3:BS9 BS26:BS30">
    <cfRule type="expression" dxfId="103" priority="443">
      <formula>#REF!=1</formula>
    </cfRule>
  </conditionalFormatting>
  <conditionalFormatting sqref="BD93">
    <cfRule type="expression" dxfId="102" priority="139">
      <formula>$CM$16=1</formula>
    </cfRule>
  </conditionalFormatting>
  <conditionalFormatting sqref="DG54">
    <cfRule type="expression" dxfId="101" priority="141">
      <formula>#REF!=1</formula>
    </cfRule>
  </conditionalFormatting>
  <conditionalFormatting sqref="DG54">
    <cfRule type="expression" dxfId="100" priority="142">
      <formula>#REF!&gt;0</formula>
    </cfRule>
  </conditionalFormatting>
  <conditionalFormatting sqref="DF54">
    <cfRule type="expression" dxfId="99" priority="140">
      <formula>$CM$16=1</formula>
    </cfRule>
  </conditionalFormatting>
  <conditionalFormatting sqref="BD86:BD89">
    <cfRule type="expression" dxfId="98" priority="138">
      <formula>$CM$16=1</formula>
    </cfRule>
  </conditionalFormatting>
  <conditionalFormatting sqref="BD94">
    <cfRule type="expression" dxfId="97" priority="137">
      <formula>$CM$16=1</formula>
    </cfRule>
  </conditionalFormatting>
  <conditionalFormatting sqref="A5:B5">
    <cfRule type="expression" dxfId="96" priority="134">
      <formula>SUM($AD$3:$AD$6)&gt;0</formula>
    </cfRule>
  </conditionalFormatting>
  <conditionalFormatting sqref="C5">
    <cfRule type="expression" dxfId="95" priority="133">
      <formula>SUM($AD$3:$AD$6)&gt;0</formula>
    </cfRule>
  </conditionalFormatting>
  <conditionalFormatting sqref="G29:G30 G49 G35:G36 G42">
    <cfRule type="expression" dxfId="94" priority="132">
      <formula>$C$2 = "Classic Maple"</formula>
    </cfRule>
  </conditionalFormatting>
  <conditionalFormatting sqref="C22:F30 E21 G21">
    <cfRule type="expression" dxfId="93" priority="129">
      <formula>$AD$10=0</formula>
    </cfRule>
  </conditionalFormatting>
  <conditionalFormatting sqref="E31 G31 C32:F36">
    <cfRule type="expression" dxfId="92" priority="128">
      <formula>$AD$11=0</formula>
    </cfRule>
  </conditionalFormatting>
  <conditionalFormatting sqref="C44:F49 E43 G43 D50:E50 FS27 FS28:FT28 FR26">
    <cfRule type="expression" dxfId="91" priority="127">
      <formula>$AD$13=0</formula>
    </cfRule>
  </conditionalFormatting>
  <conditionalFormatting sqref="CF3:CF9">
    <cfRule type="expression" dxfId="90" priority="124">
      <formula>$CN$16=1</formula>
    </cfRule>
  </conditionalFormatting>
  <conditionalFormatting sqref="BS70:BS73">
    <cfRule type="expression" dxfId="89" priority="115">
      <formula>$CM$16=1</formula>
    </cfRule>
  </conditionalFormatting>
  <conditionalFormatting sqref="BS77">
    <cfRule type="expression" dxfId="88" priority="114">
      <formula>$CM$16=1</formula>
    </cfRule>
  </conditionalFormatting>
  <conditionalFormatting sqref="G28">
    <cfRule type="expression" dxfId="87" priority="110">
      <formula>$DM$17&lt;1</formula>
    </cfRule>
  </conditionalFormatting>
  <conditionalFormatting sqref="G46">
    <cfRule type="expression" dxfId="86" priority="109">
      <formula>$BD$84="Triple_Flange"</formula>
    </cfRule>
  </conditionalFormatting>
  <conditionalFormatting sqref="CF10">
    <cfRule type="expression" dxfId="85" priority="108">
      <formula>$CN$16=1</formula>
    </cfRule>
  </conditionalFormatting>
  <conditionalFormatting sqref="CF11">
    <cfRule type="expression" dxfId="84" priority="107">
      <formula>$CN$16=1</formula>
    </cfRule>
  </conditionalFormatting>
  <conditionalFormatting sqref="CF12:CF23">
    <cfRule type="expression" dxfId="83" priority="106">
      <formula>$CN$16=1</formula>
    </cfRule>
  </conditionalFormatting>
  <conditionalFormatting sqref="CF26:CF35">
    <cfRule type="expression" dxfId="82" priority="105">
      <formula>$CN$16=1</formula>
    </cfRule>
  </conditionalFormatting>
  <conditionalFormatting sqref="CF39:CF67">
    <cfRule type="expression" dxfId="81" priority="104">
      <formula>$CN$16=1</formula>
    </cfRule>
  </conditionalFormatting>
  <conditionalFormatting sqref="H2:I2">
    <cfRule type="expression" dxfId="80" priority="102">
      <formula>$X$22&gt;0</formula>
    </cfRule>
  </conditionalFormatting>
  <conditionalFormatting sqref="H3:I3">
    <cfRule type="expression" dxfId="79" priority="101">
      <formula>$X$23&gt;0</formula>
    </cfRule>
  </conditionalFormatting>
  <conditionalFormatting sqref="H4:I4">
    <cfRule type="expression" dxfId="78" priority="100">
      <formula>$X$24&gt;0</formula>
    </cfRule>
  </conditionalFormatting>
  <conditionalFormatting sqref="H5:I5">
    <cfRule type="expression" dxfId="77" priority="99">
      <formula>$X$25&gt;0</formula>
    </cfRule>
  </conditionalFormatting>
  <conditionalFormatting sqref="D2">
    <cfRule type="expression" dxfId="76" priority="97">
      <formula>$AM$30&gt;0</formula>
    </cfRule>
  </conditionalFormatting>
  <conditionalFormatting sqref="CC97:CC101 CC111">
    <cfRule type="expression" dxfId="75" priority="93">
      <formula>#REF!=1</formula>
    </cfRule>
  </conditionalFormatting>
  <conditionalFormatting sqref="CC107">
    <cfRule type="expression" dxfId="74" priority="92">
      <formula>#REF!=1</formula>
    </cfRule>
  </conditionalFormatting>
  <conditionalFormatting sqref="CC105">
    <cfRule type="expression" dxfId="73" priority="91">
      <formula>#REF!=1</formula>
    </cfRule>
  </conditionalFormatting>
  <conditionalFormatting sqref="CC108">
    <cfRule type="expression" dxfId="72" priority="90">
      <formula>#REF!=1</formula>
    </cfRule>
  </conditionalFormatting>
  <conditionalFormatting sqref="CC113:CC114">
    <cfRule type="expression" dxfId="71" priority="89">
      <formula>#REF!=1</formula>
    </cfRule>
  </conditionalFormatting>
  <conditionalFormatting sqref="CC113">
    <cfRule type="expression" dxfId="70" priority="94">
      <formula>#REF!&gt;0</formula>
    </cfRule>
  </conditionalFormatting>
  <conditionalFormatting sqref="CC96 CC98">
    <cfRule type="expression" dxfId="69" priority="95">
      <formula>#REF!&gt;0</formula>
    </cfRule>
  </conditionalFormatting>
  <conditionalFormatting sqref="CC111:CC112 CC114">
    <cfRule type="expression" dxfId="68" priority="96">
      <formula>#REF!&gt;0</formula>
    </cfRule>
  </conditionalFormatting>
  <conditionalFormatting sqref="J6">
    <cfRule type="expression" dxfId="67" priority="88">
      <formula>$W$5=0</formula>
    </cfRule>
  </conditionalFormatting>
  <conditionalFormatting sqref="CP4">
    <cfRule type="expression" dxfId="66" priority="87">
      <formula>$CN$16=1</formula>
    </cfRule>
  </conditionalFormatting>
  <conditionalFormatting sqref="CP5">
    <cfRule type="expression" dxfId="65" priority="86">
      <formula>$CN$16=1</formula>
    </cfRule>
  </conditionalFormatting>
  <conditionalFormatting sqref="CP6">
    <cfRule type="expression" dxfId="64" priority="85">
      <formula>$CN$16=1</formula>
    </cfRule>
  </conditionalFormatting>
  <conditionalFormatting sqref="CP7">
    <cfRule type="expression" dxfId="63" priority="84">
      <formula>$CN$16=1</formula>
    </cfRule>
  </conditionalFormatting>
  <conditionalFormatting sqref="CP8">
    <cfRule type="expression" dxfId="62" priority="83">
      <formula>$CN$16=1</formula>
    </cfRule>
  </conditionalFormatting>
  <conditionalFormatting sqref="CP9">
    <cfRule type="expression" dxfId="61" priority="82">
      <formula>$CN$16=1</formula>
    </cfRule>
  </conditionalFormatting>
  <conditionalFormatting sqref="CP10">
    <cfRule type="expression" dxfId="60" priority="81">
      <formula>$CN$16=1</formula>
    </cfRule>
  </conditionalFormatting>
  <conditionalFormatting sqref="CP11">
    <cfRule type="expression" dxfId="59" priority="80">
      <formula>$CN$16=1</formula>
    </cfRule>
  </conditionalFormatting>
  <conditionalFormatting sqref="CP12">
    <cfRule type="expression" dxfId="58" priority="79">
      <formula>$CN$16=1</formula>
    </cfRule>
  </conditionalFormatting>
  <conditionalFormatting sqref="CP13">
    <cfRule type="expression" dxfId="57" priority="78">
      <formula>$CN$16=1</formula>
    </cfRule>
  </conditionalFormatting>
  <conditionalFormatting sqref="CP14">
    <cfRule type="expression" dxfId="56" priority="77">
      <formula>$CN$16=1</formula>
    </cfRule>
  </conditionalFormatting>
  <conditionalFormatting sqref="CP15">
    <cfRule type="expression" dxfId="55" priority="76">
      <formula>$CN$16=1</formula>
    </cfRule>
  </conditionalFormatting>
  <conditionalFormatting sqref="CP16">
    <cfRule type="expression" dxfId="54" priority="75">
      <formula>$CN$16=1</formula>
    </cfRule>
  </conditionalFormatting>
  <conditionalFormatting sqref="CP17">
    <cfRule type="expression" dxfId="53" priority="74">
      <formula>$CN$16=1</formula>
    </cfRule>
  </conditionalFormatting>
  <conditionalFormatting sqref="CP18">
    <cfRule type="expression" dxfId="52" priority="73">
      <formula>$CN$16=1</formula>
    </cfRule>
  </conditionalFormatting>
  <conditionalFormatting sqref="CP19">
    <cfRule type="expression" dxfId="51" priority="72">
      <formula>$CN$16=1</formula>
    </cfRule>
  </conditionalFormatting>
  <conditionalFormatting sqref="CP20">
    <cfRule type="expression" dxfId="50" priority="71">
      <formula>$CN$16=1</formula>
    </cfRule>
  </conditionalFormatting>
  <conditionalFormatting sqref="CP21">
    <cfRule type="expression" dxfId="49" priority="70">
      <formula>$CN$16=1</formula>
    </cfRule>
  </conditionalFormatting>
  <conditionalFormatting sqref="CP22">
    <cfRule type="expression" dxfId="48" priority="69">
      <formula>$CN$16=1</formula>
    </cfRule>
  </conditionalFormatting>
  <conditionalFormatting sqref="CP23">
    <cfRule type="expression" dxfId="47" priority="68">
      <formula>$CN$16=1</formula>
    </cfRule>
  </conditionalFormatting>
  <conditionalFormatting sqref="CP24">
    <cfRule type="expression" dxfId="46" priority="67">
      <formula>$CN$16=1</formula>
    </cfRule>
  </conditionalFormatting>
  <conditionalFormatting sqref="CP25">
    <cfRule type="expression" dxfId="45" priority="66">
      <formula>$CN$16=1</formula>
    </cfRule>
  </conditionalFormatting>
  <conditionalFormatting sqref="CP26">
    <cfRule type="expression" dxfId="44" priority="65">
      <formula>$CN$16=1</formula>
    </cfRule>
  </conditionalFormatting>
  <conditionalFormatting sqref="CP27">
    <cfRule type="expression" dxfId="43" priority="64">
      <formula>$CN$16=1</formula>
    </cfRule>
  </conditionalFormatting>
  <conditionalFormatting sqref="CP28">
    <cfRule type="expression" dxfId="42" priority="63">
      <formula>$CN$16=1</formula>
    </cfRule>
  </conditionalFormatting>
  <conditionalFormatting sqref="CP29">
    <cfRule type="expression" dxfId="41" priority="62">
      <formula>$CN$16=1</formula>
    </cfRule>
  </conditionalFormatting>
  <conditionalFormatting sqref="CP30:CP40">
    <cfRule type="expression" dxfId="40" priority="61">
      <formula>$CN$16=1</formula>
    </cfRule>
  </conditionalFormatting>
  <conditionalFormatting sqref="G27">
    <cfRule type="expression" dxfId="39" priority="59">
      <formula>$EH$21&lt;1</formula>
    </cfRule>
  </conditionalFormatting>
  <conditionalFormatting sqref="E37">
    <cfRule type="expression" dxfId="38" priority="58">
      <formula>$AD$11+$AD$12=0</formula>
    </cfRule>
  </conditionalFormatting>
  <conditionalFormatting sqref="C38:F42 E37:G37">
    <cfRule type="expression" dxfId="37" priority="48">
      <formula>$AD$12=0</formula>
    </cfRule>
  </conditionalFormatting>
  <conditionalFormatting sqref="G41">
    <cfRule type="expression" dxfId="36" priority="47">
      <formula>$C$2 = "Classic Maple"</formula>
    </cfRule>
  </conditionalFormatting>
  <conditionalFormatting sqref="L8:L20">
    <cfRule type="expression" dxfId="35" priority="46">
      <formula>L8=0</formula>
    </cfRule>
  </conditionalFormatting>
  <conditionalFormatting sqref="FR16">
    <cfRule type="expression" dxfId="34" priority="24">
      <formula>$CM$16=1</formula>
    </cfRule>
  </conditionalFormatting>
  <conditionalFormatting sqref="BD79">
    <cfRule type="expression" dxfId="33" priority="44">
      <formula>$CM$16=1</formula>
    </cfRule>
  </conditionalFormatting>
  <conditionalFormatting sqref="FR7">
    <cfRule type="expression" dxfId="32" priority="22">
      <formula>$CM$16=1</formula>
    </cfRule>
  </conditionalFormatting>
  <conditionalFormatting sqref="BH78">
    <cfRule type="expression" dxfId="31" priority="42">
      <formula>$CM$16=1</formula>
    </cfRule>
  </conditionalFormatting>
  <conditionalFormatting sqref="FS10">
    <cfRule type="expression" dxfId="30" priority="20">
      <formula>$CM$16=1</formula>
    </cfRule>
  </conditionalFormatting>
  <conditionalFormatting sqref="BL78">
    <cfRule type="expression" dxfId="29" priority="40">
      <formula>$CM$16=1</formula>
    </cfRule>
  </conditionalFormatting>
  <conditionalFormatting sqref="FS12">
    <cfRule type="expression" dxfId="28" priority="18">
      <formula>$CM$16=1</formula>
    </cfRule>
  </conditionalFormatting>
  <conditionalFormatting sqref="BP78">
    <cfRule type="expression" dxfId="27" priority="38">
      <formula>$CM$16=1</formula>
    </cfRule>
  </conditionalFormatting>
  <conditionalFormatting sqref="FS14">
    <cfRule type="expression" dxfId="26" priority="16">
      <formula>$CM$16=1</formula>
    </cfRule>
  </conditionalFormatting>
  <conditionalFormatting sqref="BS79">
    <cfRule type="expression" dxfId="25" priority="36">
      <formula>$CM$16=1</formula>
    </cfRule>
  </conditionalFormatting>
  <conditionalFormatting sqref="CF75">
    <cfRule type="expression" dxfId="24" priority="35">
      <formula>$CM$16=1</formula>
    </cfRule>
  </conditionalFormatting>
  <conditionalFormatting sqref="CF80">
    <cfRule type="expression" dxfId="23" priority="34">
      <formula>$CM$16=1</formula>
    </cfRule>
  </conditionalFormatting>
  <conditionalFormatting sqref="CO68">
    <cfRule type="expression" dxfId="22" priority="33">
      <formula>$CM$16=1</formula>
    </cfRule>
  </conditionalFormatting>
  <conditionalFormatting sqref="CO69">
    <cfRule type="expression" dxfId="21" priority="32">
      <formula>$CM$16=1</formula>
    </cfRule>
  </conditionalFormatting>
  <conditionalFormatting sqref="CP68">
    <cfRule type="expression" dxfId="20" priority="31">
      <formula>$CN$16=1</formula>
    </cfRule>
  </conditionalFormatting>
  <conditionalFormatting sqref="CP69">
    <cfRule type="expression" dxfId="19" priority="30">
      <formula>$CN$16=1</formula>
    </cfRule>
  </conditionalFormatting>
  <conditionalFormatting sqref="BD96">
    <cfRule type="expression" dxfId="18" priority="29">
      <formula>$CM$16=1</formula>
    </cfRule>
  </conditionalFormatting>
  <conditionalFormatting sqref="F50">
    <cfRule type="expression" dxfId="17" priority="28">
      <formula>$AD$13=0</formula>
    </cfRule>
  </conditionalFormatting>
  <conditionalFormatting sqref="FS19">
    <cfRule type="expression" dxfId="16" priority="11">
      <formula>$CM$16=1</formula>
    </cfRule>
  </conditionalFormatting>
  <conditionalFormatting sqref="FR9:FR12 FR15 FR17 FR19">
    <cfRule type="expression" dxfId="15" priority="25">
      <formula>$CM$16=1</formula>
    </cfRule>
  </conditionalFormatting>
  <conditionalFormatting sqref="FS11">
    <cfRule type="expression" dxfId="14" priority="19">
      <formula>$CM$16=1</formula>
    </cfRule>
  </conditionalFormatting>
  <conditionalFormatting sqref="FS9">
    <cfRule type="expression" dxfId="13" priority="21">
      <formula>$CM$16=1</formula>
    </cfRule>
  </conditionalFormatting>
  <conditionalFormatting sqref="FS13">
    <cfRule type="expression" dxfId="12" priority="17">
      <formula>$CM$16=1</formula>
    </cfRule>
  </conditionalFormatting>
  <conditionalFormatting sqref="FS15">
    <cfRule type="expression" dxfId="11" priority="15">
      <formula>$CM$16=1</formula>
    </cfRule>
  </conditionalFormatting>
  <conditionalFormatting sqref="FS16">
    <cfRule type="expression" dxfId="10" priority="14">
      <formula>$CM$16=1</formula>
    </cfRule>
  </conditionalFormatting>
  <conditionalFormatting sqref="FS17">
    <cfRule type="expression" dxfId="9" priority="13">
      <formula>$CM$16=1</formula>
    </cfRule>
  </conditionalFormatting>
  <conditionalFormatting sqref="FS18">
    <cfRule type="expression" dxfId="8" priority="12">
      <formula>$CM$16=1</formula>
    </cfRule>
  </conditionalFormatting>
  <conditionalFormatting sqref="FS20">
    <cfRule type="expression" dxfId="7" priority="10">
      <formula>$CM$16=1</formula>
    </cfRule>
  </conditionalFormatting>
  <conditionalFormatting sqref="FR18">
    <cfRule type="expression" dxfId="6" priority="9">
      <formula>$CM$16=1</formula>
    </cfRule>
  </conditionalFormatting>
  <conditionalFormatting sqref="FR25">
    <cfRule type="expression" dxfId="5" priority="8">
      <formula>$AD$13=0</formula>
    </cfRule>
  </conditionalFormatting>
  <conditionalFormatting sqref="FS31">
    <cfRule type="expression" dxfId="4" priority="5">
      <formula>$AD$13=0</formula>
    </cfRule>
  </conditionalFormatting>
  <conditionalFormatting sqref="G50">
    <cfRule type="expression" dxfId="3" priority="4">
      <formula>$FS$21="Yes"</formula>
    </cfRule>
  </conditionalFormatting>
  <conditionalFormatting sqref="DH59">
    <cfRule type="expression" dxfId="2" priority="3">
      <formula>#REF!&gt;0</formula>
    </cfRule>
  </conditionalFormatting>
  <conditionalFormatting sqref="DH43">
    <cfRule type="expression" dxfId="1" priority="1">
      <formula>#REF!=1</formula>
    </cfRule>
  </conditionalFormatting>
  <conditionalFormatting sqref="DH43">
    <cfRule type="expression" dxfId="0" priority="2">
      <formula>#REF!&gt;0</formula>
    </cfRule>
  </conditionalFormatting>
  <dataValidations count="25">
    <dataValidation type="list" allowBlank="1" showInputMessage="1" showErrorMessage="1" sqref="C2" xr:uid="{00000000-0002-0000-0000-000000000000}">
      <formula1>Shell</formula1>
    </dataValidation>
    <dataValidation type="list" allowBlank="1" showInputMessage="1" showErrorMessage="1" sqref="B8:B20" xr:uid="{00000000-0002-0000-0000-000001000000}">
      <formula1>Type</formula1>
    </dataValidation>
    <dataValidation type="list" allowBlank="1" showInputMessage="1" showErrorMessage="1" sqref="C4" xr:uid="{00000000-0002-0000-0000-000002000000}">
      <formula1>INDIRECT(Badge)</formula1>
    </dataValidation>
    <dataValidation type="list" allowBlank="1" showInputMessage="1" showErrorMessage="1" sqref="C3" xr:uid="{00000000-0002-0000-0000-000003000000}">
      <formula1>INDIRECT(CONCATENATE(VLOOKUP(C2,$AE$3:$AF$7,2,FALSE),"_Finish"))</formula1>
    </dataValidation>
    <dataValidation type="list" allowBlank="1" showInputMessage="1" showErrorMessage="1" sqref="G25" xr:uid="{00000000-0002-0000-0000-000004000000}">
      <formula1>BD_Front_Head</formula1>
    </dataValidation>
    <dataValidation type="list" allowBlank="1" showInputMessage="1" showErrorMessage="1" sqref="G27" xr:uid="{00000000-0002-0000-0000-000005000000}">
      <formula1>bd_screws</formula1>
    </dataValidation>
    <dataValidation type="list" allowBlank="1" showInputMessage="1" showErrorMessage="1" sqref="G32 G45 G38" xr:uid="{00000000-0002-0000-0000-000006000000}">
      <formula1>"Baseball Bat Tone Control"</formula1>
    </dataValidation>
    <dataValidation type="list" allowBlank="1" showInputMessage="1" showErrorMessage="1" sqref="G33 G39" xr:uid="{00000000-0002-0000-0000-000007000000}">
      <formula1>"Coated Ambassador, Clear Ambassador"</formula1>
    </dataValidation>
    <dataValidation type="list" allowBlank="1" showInputMessage="1" showErrorMessage="1" sqref="G44" xr:uid="{00000000-0002-0000-0000-000008000000}">
      <formula1>"P33 Die Cast,P32 Stamped"</formula1>
    </dataValidation>
    <dataValidation type="list" allowBlank="1" showInputMessage="1" showErrorMessage="1" sqref="G46" xr:uid="{00000000-0002-0000-0000-000009000000}">
      <formula1>INDIRECT($BD$84)</formula1>
    </dataValidation>
    <dataValidation type="list" allowBlank="1" showInputMessage="1" showErrorMessage="1" sqref="G47" xr:uid="{00000000-0002-0000-0000-00000A000000}">
      <formula1>"Medium Coated"</formula1>
    </dataValidation>
    <dataValidation type="whole" allowBlank="1" showInputMessage="1" showErrorMessage="1" sqref="A8:A20" xr:uid="{00000000-0002-0000-0000-00000B000000}">
      <formula1>1</formula1>
      <formula2>99</formula2>
    </dataValidation>
    <dataValidation type="list" allowBlank="1" showInputMessage="1" showErrorMessage="1" sqref="G8:G20" xr:uid="{00000000-0002-0000-0000-00000C000000}">
      <formula1>INDIRECT(FM8)</formula1>
    </dataValidation>
    <dataValidation type="list" allowBlank="1" showInputMessage="1" showErrorMessage="1" sqref="C5" xr:uid="{00000000-0002-0000-0000-00000D000000}">
      <formula1>INDIRECT($AM$25)</formula1>
    </dataValidation>
    <dataValidation type="list" allowBlank="1" showInputMessage="1" showErrorMessage="1" sqref="G28" xr:uid="{00000000-0002-0000-0000-00000E000000}">
      <formula1>INDIRECT(DN19)</formula1>
    </dataValidation>
    <dataValidation type="list" allowBlank="1" showInputMessage="1" showErrorMessage="1" sqref="G24" xr:uid="{00000000-0002-0000-0000-00000F000000}">
      <formula1>INDIRECT(B23)</formula1>
    </dataValidation>
    <dataValidation type="list" allowBlank="1" showInputMessage="1" showErrorMessage="1" sqref="G22:G23" xr:uid="{00000000-0002-0000-0000-000010000000}">
      <formula1>INDIRECT(B25)</formula1>
    </dataValidation>
    <dataValidation type="list" allowBlank="1" showInputMessage="1" showErrorMessage="1" sqref="G29 G41 G35 G49" xr:uid="{00000000-0002-0000-0000-000011000000}">
      <formula1>INDIRECT($B$29)</formula1>
    </dataValidation>
    <dataValidation type="list" allowBlank="1" showInputMessage="1" showErrorMessage="1" sqref="G30 G36 G42" xr:uid="{00000000-0002-0000-0000-000012000000}">
      <formula1>INDIRECT(A30)</formula1>
    </dataValidation>
    <dataValidation type="list" showInputMessage="1" showErrorMessage="1" sqref="C8:C20" xr:uid="{00000000-0002-0000-0000-000013000000}">
      <formula1>INDIRECT(CONCATENATE(VLOOKUP($C$2,$AE$3:$AF$7,2,FALSE),"_",B8,"_Size"))</formula1>
    </dataValidation>
    <dataValidation type="list" allowBlank="1" showInputMessage="1" showErrorMessage="1" sqref="V1 L1" xr:uid="{00000000-0002-0000-0000-000014000000}">
      <formula1>Discount</formula1>
    </dataValidation>
    <dataValidation type="list" allowBlank="1" showInputMessage="1" showErrorMessage="1" sqref="FS31 FR26" xr:uid="{00000000-0002-0000-0000-000015000000}">
      <formula1>"'Vintage '63"</formula1>
    </dataValidation>
    <dataValidation type="list" allowBlank="1" showInputMessage="1" showErrorMessage="1" sqref="G50" xr:uid="{00000000-0002-0000-0000-000016000000}">
      <formula1>INDIRECT($FS$28)</formula1>
    </dataValidation>
    <dataValidation type="list" allowBlank="1" showInputMessage="1" showErrorMessage="1" sqref="BV1" xr:uid="{00000000-0002-0000-0000-000017000000}">
      <formula1>"1200102, 1210401"</formula1>
    </dataValidation>
    <dataValidation type="list" allowBlank="1" showInputMessage="1" showErrorMessage="1" sqref="E8:E20" xr:uid="{00000000-0002-0000-0000-000018000000}">
      <formula1>INDIRECT(VLOOKUP(C8,CO:CP,2,FALSE))</formula1>
    </dataValidation>
  </dataValidations>
  <pageMargins left="0.45" right="0.45" top="0.5" bottom="0.5" header="0.3" footer="0.3"/>
  <pageSetup scale="99" fitToWidth="0" orientation="landscape" r:id="rId1"/>
  <headerFooter>
    <oddFooter>Page &amp;P of &amp;N</oddFooter>
  </headerFooter>
  <ignoredErrors>
    <ignoredError sqref="B25 B29"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98</vt:i4>
      </vt:variant>
    </vt:vector>
  </HeadingPairs>
  <TitlesOfParts>
    <vt:vector size="99" baseType="lpstr">
      <vt:lpstr>Outfitter</vt:lpstr>
      <vt:lpstr>AnyBrkt.Classic</vt:lpstr>
      <vt:lpstr>AnyBrkt.Long</vt:lpstr>
      <vt:lpstr>Badge</vt:lpstr>
      <vt:lpstr>Bass_DblSngl</vt:lpstr>
      <vt:lpstr>Bass_Mounts</vt:lpstr>
      <vt:lpstr>BD_Front_Head</vt:lpstr>
      <vt:lpstr>bd_screws</vt:lpstr>
      <vt:lpstr>Classic_Maple_Badge</vt:lpstr>
      <vt:lpstr>Classic_Maple_Bass_Size</vt:lpstr>
      <vt:lpstr>Classic_Maple_Finish</vt:lpstr>
      <vt:lpstr>Classic_Maple_Floor_Size</vt:lpstr>
      <vt:lpstr>Classic_Maple_Snare_Size</vt:lpstr>
      <vt:lpstr>Classic_Maple_Tom_Size</vt:lpstr>
      <vt:lpstr>Classic_Oak_Badge</vt:lpstr>
      <vt:lpstr>Classic_Oak_Bass_Size</vt:lpstr>
      <vt:lpstr>Classic_Oak_Finish</vt:lpstr>
      <vt:lpstr>Classic_Oak_Floor_Size</vt:lpstr>
      <vt:lpstr>Classic_Oak_Snare_Size</vt:lpstr>
      <vt:lpstr>Classic_Oak_Tom_Size</vt:lpstr>
      <vt:lpstr>Clear_All</vt:lpstr>
      <vt:lpstr>Cortex</vt:lpstr>
      <vt:lpstr>DblSngl</vt:lpstr>
      <vt:lpstr>Diagonal</vt:lpstr>
      <vt:lpstr>Discount</vt:lpstr>
      <vt:lpstr>Double</vt:lpstr>
      <vt:lpstr>Edges_Classic_Maple</vt:lpstr>
      <vt:lpstr>Edges_Classic_Oak</vt:lpstr>
      <vt:lpstr>Edges_Legacy_Exotic</vt:lpstr>
      <vt:lpstr>Edges_Legacy_Mahogany</vt:lpstr>
      <vt:lpstr>Edges_Legacy_Maple</vt:lpstr>
      <vt:lpstr>Floor_DblSngl</vt:lpstr>
      <vt:lpstr>Floor_Mounts</vt:lpstr>
      <vt:lpstr>IntFin_Choice</vt:lpstr>
      <vt:lpstr>IntFin_Clear</vt:lpstr>
      <vt:lpstr>Legacy_Exotic_Badge</vt:lpstr>
      <vt:lpstr>Legacy_Exotic_Bass_Size</vt:lpstr>
      <vt:lpstr>Legacy_Exotic_Finish</vt:lpstr>
      <vt:lpstr>Legacy_Exotic_Floor_Size</vt:lpstr>
      <vt:lpstr>Legacy_Exotic_Snare_Size</vt:lpstr>
      <vt:lpstr>Legacy_Exotic_Tom_Size</vt:lpstr>
      <vt:lpstr>Legacy_Exotic_Type</vt:lpstr>
      <vt:lpstr>Legacy_Mahogany_Badge</vt:lpstr>
      <vt:lpstr>Legacy_Mahogany_Bass_Size</vt:lpstr>
      <vt:lpstr>Legacy_Mahogany_Finish</vt:lpstr>
      <vt:lpstr>Legacy_Mahogany_Floor_Size</vt:lpstr>
      <vt:lpstr>Legacy_Mahogany_Snare_Size</vt:lpstr>
      <vt:lpstr>Legacy_Mahogany_Tom_Size</vt:lpstr>
      <vt:lpstr>Legacy_Maple_Badge</vt:lpstr>
      <vt:lpstr>Legacy_Maple_Bass_Size</vt:lpstr>
      <vt:lpstr>Legacy_Maple_Finish</vt:lpstr>
      <vt:lpstr>Legacy_Maple_Floor_Size</vt:lpstr>
      <vt:lpstr>Legacy_Maple_Snare_size</vt:lpstr>
      <vt:lpstr>Legacy_Maple_Tom_Size</vt:lpstr>
      <vt:lpstr>LL_Bass_Mounts</vt:lpstr>
      <vt:lpstr>LL_Floor_Mounts</vt:lpstr>
      <vt:lpstr>MH</vt:lpstr>
      <vt:lpstr>ML</vt:lpstr>
      <vt:lpstr>MLLC</vt:lpstr>
      <vt:lpstr>MLLCLL</vt:lpstr>
      <vt:lpstr>MLLCLLLILT</vt:lpstr>
      <vt:lpstr>MLLCLLSIST</vt:lpstr>
      <vt:lpstr>MLLTSI</vt:lpstr>
      <vt:lpstr>MLLTSISTTB</vt:lpstr>
      <vt:lpstr>MLSI</vt:lpstr>
      <vt:lpstr>MLSIST</vt:lpstr>
      <vt:lpstr>MLSISTTB</vt:lpstr>
      <vt:lpstr>Mounts</vt:lpstr>
      <vt:lpstr>Naturals</vt:lpstr>
      <vt:lpstr>No_Shell_Mount</vt:lpstr>
      <vt:lpstr>PDC</vt:lpstr>
      <vt:lpstr>Outfitter!Print_Titles</vt:lpstr>
      <vt:lpstr>PTTB</vt:lpstr>
      <vt:lpstr>Sable</vt:lpstr>
      <vt:lpstr>Satins</vt:lpstr>
      <vt:lpstr>sdBedChoice</vt:lpstr>
      <vt:lpstr>sdBedNoChoice</vt:lpstr>
      <vt:lpstr>Shell</vt:lpstr>
      <vt:lpstr>Shell_Mount</vt:lpstr>
      <vt:lpstr>ShellOnly.Classic</vt:lpstr>
      <vt:lpstr>ShellOnly.Long</vt:lpstr>
      <vt:lpstr>SISTTB</vt:lpstr>
      <vt:lpstr>SN0N</vt:lpstr>
      <vt:lpstr>Snare_Mounts</vt:lpstr>
      <vt:lpstr>Sprays</vt:lpstr>
      <vt:lpstr>Spurs_AECFN</vt:lpstr>
      <vt:lpstr>Spurs_AEFN</vt:lpstr>
      <vt:lpstr>Spurs_ECFN</vt:lpstr>
      <vt:lpstr>Spurs_EFN</vt:lpstr>
      <vt:lpstr>Spurs_FN</vt:lpstr>
      <vt:lpstr>Throw_P80</vt:lpstr>
      <vt:lpstr>Throws_85_86_88</vt:lpstr>
      <vt:lpstr>Tom_DblSngl</vt:lpstr>
      <vt:lpstr>Tom_Mounts</vt:lpstr>
      <vt:lpstr>Triple_Flange</vt:lpstr>
      <vt:lpstr>Type</vt:lpstr>
      <vt:lpstr>Wraps</vt:lpstr>
      <vt:lpstr>WrapsSN</vt:lpstr>
      <vt:lpstr>WrapsST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Devore, Gary</dc:creator>
  <cp:lastModifiedBy>Music For All</cp:lastModifiedBy>
  <cp:lastPrinted>2021-03-09T20:56:46Z</cp:lastPrinted>
  <dcterms:created xsi:type="dcterms:W3CDTF">2019-04-08T19:23:16Z</dcterms:created>
  <dcterms:modified xsi:type="dcterms:W3CDTF">2021-04-19T16:34:43Z</dcterms:modified>
</cp:coreProperties>
</file>